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custom-properties+xml" PartName="/docProps/custom.xml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drawingml.chart+xml" PartName="/xl/charts/chart1.xml"/>
  <Override ContentType="application/vnd.openxmlformats-officedocument.drawingml.chart+xml" PartName="/xl/charts/chart4.xml"/>
  <Override ContentType="application/vnd.openxmlformats-officedocument.drawingml.chart+xml" PartName="/xl/charts/chart3.xml"/>
  <Override ContentType="application/vnd.openxmlformats-officedocument.drawingml.chart+xml" PartName="/xl/charts/chart2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custom-properties" Target="docProps/custom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ASHBOARD" sheetId="1" r:id="rId4"/>
    <sheet state="visible" name="BENCHMARKS-GOALS" sheetId="2" r:id="rId5"/>
    <sheet state="visible" name="RAW DATA INPUT" sheetId="3" r:id="rId6"/>
    <sheet state="visible" name="MONTHLY REVIEW" sheetId="4" r:id="rId7"/>
    <sheet state="visible" name="12-MONTH TRACKER" sheetId="5" r:id="rId8"/>
    <sheet state="visible" name="ACTION PLAN" sheetId="6" r:id="rId9"/>
    <sheet state="visible" name="PRINTABLE REPORT" sheetId="7" r:id="rId10"/>
    <sheet state="visible" name="INSTRUCTIONS" sheetId="8" r:id="rId11"/>
  </sheets>
  <definedNames/>
  <calcPr/>
  <extLst>
    <ext uri="GoogleSheetsCustomDataVersion2">
      <go:sheetsCustomData xmlns:go="http://customooxmlschemas.google.com/" r:id="rId12" roundtripDataChecksum="K6M+qD0qL05NQ+T4BgYBBuF3+Z8KgDPuIsgHzNmN+4w="/>
    </ext>
  </extLst>
</workbook>
</file>

<file path=xl/sharedStrings.xml><?xml version="1.0" encoding="utf-8"?>
<sst xmlns="http://schemas.openxmlformats.org/spreadsheetml/2006/main" count="569" uniqueCount="243">
  <si>
    <t>RESTAURANT ASSOCIATION  —  MONTHLY KPI EXECUTIVE DASHBOARD</t>
  </si>
  <si>
    <t>PERIOD:</t>
  </si>
  <si>
    <t>LOCATION:</t>
  </si>
  <si>
    <t>Note: Period and Location are set on the Monthly Review sheet — all cards below update automatically.</t>
  </si>
  <si>
    <t>THIS MONTH'S KPI CARDS</t>
  </si>
  <si>
    <t>Total Sales</t>
  </si>
  <si>
    <t>Sales Growth %</t>
  </si>
  <si>
    <t>Food Cost %</t>
  </si>
  <si>
    <t>Labor  Cost %</t>
  </si>
  <si>
    <t>Prime Cost %</t>
  </si>
  <si>
    <t>Net Profit Margin %</t>
  </si>
  <si>
    <t>Guest Satisfaction (CSAT) %</t>
  </si>
  <si>
    <t>Repeat Visit Rate %</t>
  </si>
  <si>
    <t>FULL SCORECARD</t>
  </si>
  <si>
    <t>SALES MIX (FOOD VS BEVERAGE)</t>
  </si>
  <si>
    <t>COST % VS TARGET</t>
  </si>
  <si>
    <t>KPI</t>
  </si>
  <si>
    <t>Value</t>
  </si>
  <si>
    <t>Grade</t>
  </si>
  <si>
    <t>Food</t>
  </si>
  <si>
    <t>Actual</t>
  </si>
  <si>
    <t>Target</t>
  </si>
  <si>
    <t>Beverage</t>
  </si>
  <si>
    <t>Beverage Cost %</t>
  </si>
  <si>
    <t>Inventory Turnover (x/month)</t>
  </si>
  <si>
    <t>Delivery Sales %</t>
  </si>
  <si>
    <t>3rd-Party Commission %</t>
  </si>
  <si>
    <t>Marketing Spend ROI %</t>
  </si>
  <si>
    <t>Employee Turnover Rate %</t>
  </si>
  <si>
    <t>BENCHMARKS &amp; TARGETS</t>
  </si>
  <si>
    <t>Industry target values for each KPI. Edit the Target column to match your own goals - all scorecards and conditional formatting pull from here.</t>
  </si>
  <si>
    <t>#</t>
  </si>
  <si>
    <t>Category</t>
  </si>
  <si>
    <t>Direction</t>
  </si>
  <si>
    <t>Target / Goal</t>
  </si>
  <si>
    <t>Format</t>
  </si>
  <si>
    <t>Revenue &amp; Sales</t>
  </si>
  <si>
    <t>Informational</t>
  </si>
  <si>
    <t>Gross monthly revenue across all sales channels</t>
  </si>
  <si>
    <t>Higher is better</t>
  </si>
  <si>
    <t>(This Month - Prior Month) / Prior Month</t>
  </si>
  <si>
    <t>Revenue per Seat-Hour</t>
  </si>
  <si>
    <t>Total Sales / (Seating Capacity x Hours Open)</t>
  </si>
  <si>
    <t>Average Spend per Guest</t>
  </si>
  <si>
    <t>Total Sales / Total Covers</t>
  </si>
  <si>
    <t>Sales Mix</t>
  </si>
  <si>
    <t>Food % of Sales</t>
  </si>
  <si>
    <t>Food Sales / Total Sales</t>
  </si>
  <si>
    <t>Beverage % of Sales</t>
  </si>
  <si>
    <t>Beverage Sales / Total Sales</t>
  </si>
  <si>
    <t>Dine-In % of Sales</t>
  </si>
  <si>
    <t>Dine-In Sales / Total Sales</t>
  </si>
  <si>
    <t>Takeout/Delivery % of Sales</t>
  </si>
  <si>
    <t>Takeout+Delivery Sales / Total Sales</t>
  </si>
  <si>
    <t>Food &amp; Beverage Cost</t>
  </si>
  <si>
    <t>Lower is better</t>
  </si>
  <si>
    <t>Food Cost / Food Sales (target 28-35%)</t>
  </si>
  <si>
    <t>Beverage Cost / Beverage Sales (target 25-30%)</t>
  </si>
  <si>
    <t>(Food+Bev Cost+Labor Cost) / Total Sales (target &lt;=60-65%)</t>
  </si>
  <si>
    <t>Gross Profit Margin %</t>
  </si>
  <si>
    <t>(Total Sales - COGS) / Total Sales (target ~70%)</t>
  </si>
  <si>
    <t>Food Waste %</t>
  </si>
  <si>
    <t>Waste Cost / Food Sales</t>
  </si>
  <si>
    <t>Labor</t>
  </si>
  <si>
    <t>Labor Cost %</t>
  </si>
  <si>
    <t>Total Labor Cost / Total Sales (target 20-30%)</t>
  </si>
  <si>
    <t>Sales per Labor Hour</t>
  </si>
  <si>
    <t>Total Sales / Total Labor Hours</t>
  </si>
  <si>
    <t>Sales per Employee (FTE)</t>
  </si>
  <si>
    <t>Total Sales / FTE Count</t>
  </si>
  <si>
    <t>Staff Exiting / Avg Staff Count (annualized)</t>
  </si>
  <si>
    <t>Inventory &amp; Waste</t>
  </si>
  <si>
    <t>COGS / Average Inventory</t>
  </si>
  <si>
    <t>Days Inventory on Hand</t>
  </si>
  <si>
    <t>Average Inventory / Daily COGS</t>
  </si>
  <si>
    <t>Stock Variance ($)</t>
  </si>
  <si>
    <t>Theoretical Inventory - Actual Count</t>
  </si>
  <si>
    <t>Waste % of COGS</t>
  </si>
  <si>
    <t>Spoilage/Waste Cost / COGS</t>
  </si>
  <si>
    <t>Customer Experience</t>
  </si>
  <si>
    <t>Satisfied Customers / Surveyed</t>
  </si>
  <si>
    <t>Net Promoter Score (NPS)</t>
  </si>
  <si>
    <t>(% Promoters - % Detractors)</t>
  </si>
  <si>
    <t>Returning Customers / Total Customers</t>
  </si>
  <si>
    <t>Avg Online Review Rating</t>
  </si>
  <si>
    <t>Average star rating (Google/Yelp)</t>
  </si>
  <si>
    <t>Complaints/Incidents (count)</t>
  </si>
  <si>
    <t>Monthly count of logged complaints</t>
  </si>
  <si>
    <t>Delivery &amp; 3rd-Party</t>
  </si>
  <si>
    <t>Delivery Sales / Total Sales</t>
  </si>
  <si>
    <t>Commissions Paid / Delivery Sales</t>
  </si>
  <si>
    <t>Avg Delivery Time (min)</t>
  </si>
  <si>
    <t>Order-to-delivery completion time</t>
  </si>
  <si>
    <t>On-Time Delivery %</t>
  </si>
  <si>
    <t>Deliveries within promised window</t>
  </si>
  <si>
    <t>Marketing ROI</t>
  </si>
  <si>
    <t>(Revenue from Campaign - Cost) / Cost</t>
  </si>
  <si>
    <t>Email Open Rate %</t>
  </si>
  <si>
    <t>Industry benchmark ~30-35%</t>
  </si>
  <si>
    <t>Email Click-Through Rate %</t>
  </si>
  <si>
    <t>Industry benchmark ~1-2%</t>
  </si>
  <si>
    <t>Social Media Engagement Rate %</t>
  </si>
  <si>
    <t>(Likes+Shares) / Followers</t>
  </si>
  <si>
    <t>Financial Ratios</t>
  </si>
  <si>
    <t>Net Profit / Total Revenue (healthy ~3-9%)</t>
  </si>
  <si>
    <t>Sales per Square Foot</t>
  </si>
  <si>
    <t>Annual Sales / Total Dining Area sqft (target $150-250)</t>
  </si>
  <si>
    <t>Covers per Seat (Capacity Use)</t>
  </si>
  <si>
    <t>Total Covers / #Seats over period</t>
  </si>
  <si>
    <t>Break-Even Point ($)</t>
  </si>
  <si>
    <t>Fixed Costs / (1 - Variable Cost % of Sales)</t>
  </si>
  <si>
    <t>SCORECARD GRADING SCALE (% OF TARGET ACHIEVED)</t>
  </si>
  <si>
    <t>A</t>
  </si>
  <si>
    <t>≥ 95%</t>
  </si>
  <si>
    <t>B</t>
  </si>
  <si>
    <t>85% – 94.9%</t>
  </si>
  <si>
    <t>C</t>
  </si>
  <si>
    <t>70% – 84.9%</t>
  </si>
  <si>
    <t>D</t>
  </si>
  <si>
    <t>55% – 69.9%</t>
  </si>
  <si>
    <t>F</t>
  </si>
  <si>
    <t>&lt; 55%</t>
  </si>
  <si>
    <t>RAW DATA INPUT</t>
  </si>
  <si>
    <t>Enter monthly source figures here. This sheet feeds Monthly Review and 12-Month Tracker via formulas. Consider hiding/protecting this sheet once populated.</t>
  </si>
  <si>
    <t>ACTIVE LOCATION:</t>
  </si>
  <si>
    <t>Main Street (Flagship)</t>
  </si>
  <si>
    <t>Month</t>
  </si>
  <si>
    <t>Location</t>
  </si>
  <si>
    <t>Food Sales</t>
  </si>
  <si>
    <t>Beverage Sales</t>
  </si>
  <si>
    <t>Dine-In Sales</t>
  </si>
  <si>
    <t>Takeout/Delivery Sales</t>
  </si>
  <si>
    <t>Food Cost</t>
  </si>
  <si>
    <t>Beverage Cost</t>
  </si>
  <si>
    <t>Labor Cost</t>
  </si>
  <si>
    <t>Labor Hours</t>
  </si>
  <si>
    <t>FTE Count</t>
  </si>
  <si>
    <t>Covers</t>
  </si>
  <si>
    <t>Customers</t>
  </si>
  <si>
    <t>Returning Customers</t>
  </si>
  <si>
    <t>Beginning Inventory</t>
  </si>
  <si>
    <t>Ending Inventory</t>
  </si>
  <si>
    <t>Waste Cost</t>
  </si>
  <si>
    <t>Theoretical Inventory</t>
  </si>
  <si>
    <t>Actual Inventory Count</t>
  </si>
  <si>
    <t>Delivery Sales</t>
  </si>
  <si>
    <t>3rd-Party Commission Paid</t>
  </si>
  <si>
    <t>On-Time Deliveries %</t>
  </si>
  <si>
    <t>Marketing Spend</t>
  </si>
  <si>
    <t>Marketing Revenue Attributed</t>
  </si>
  <si>
    <t>Email Sends</t>
  </si>
  <si>
    <t>Email Opens</t>
  </si>
  <si>
    <t>Email Clicks</t>
  </si>
  <si>
    <t>Social Followers</t>
  </si>
  <si>
    <t>Social Likes+Shares</t>
  </si>
  <si>
    <t>CSAT Surveyed</t>
  </si>
  <si>
    <t>CSAT Satisfied</t>
  </si>
  <si>
    <t>NPS Promoters %</t>
  </si>
  <si>
    <t>NPS Detractors %</t>
  </si>
  <si>
    <t>Avg Review Rating</t>
  </si>
  <si>
    <t>Complaints Count</t>
  </si>
  <si>
    <t>Net Profit</t>
  </si>
  <si>
    <t>Fixed Costs</t>
  </si>
  <si>
    <t>Variable Costs</t>
  </si>
  <si>
    <t>Dining Area (sqft)</t>
  </si>
  <si>
    <t>Seats</t>
  </si>
  <si>
    <t>Hours Open (month)</t>
  </si>
  <si>
    <t>Staff Exiting (month)</t>
  </si>
  <si>
    <t>Avg Staff Count</t>
  </si>
  <si>
    <t>2026-01</t>
  </si>
  <si>
    <t>2026-02</t>
  </si>
  <si>
    <t>2026-03</t>
  </si>
  <si>
    <t>2026-04</t>
  </si>
  <si>
    <t>2026-05</t>
  </si>
  <si>
    <t>2026-06</t>
  </si>
  <si>
    <t>Downtown Branch</t>
  </si>
  <si>
    <t>Riverside Branch</t>
  </si>
  <si>
    <t>MONTHLY REVIEW</t>
  </si>
  <si>
    <t>Select Month and Location below. All KPIs are pulled and calculated live from Raw Data Input and graded against Benchmarks/Goals.</t>
  </si>
  <si>
    <t>REVIEW MONTH:</t>
  </si>
  <si>
    <t>This Month</t>
  </si>
  <si>
    <t>vs Target</t>
  </si>
  <si>
    <t>HELPER VALUES (hidden) - current month/location pulls</t>
  </si>
  <si>
    <t>-</t>
  </si>
  <si>
    <t>PRIOR MONTH TOTAL SALES (helper)</t>
  </si>
  <si>
    <t>12-MONTH TREND TRACKER</t>
  </si>
  <si>
    <t>Tracks core KPIs over time for the selected location to help spot seasonality and trends. Demo data covers 6 months; extend Raw Data Input to populate further.</t>
  </si>
  <si>
    <t>SALES TREND</t>
  </si>
  <si>
    <t>ACTION PLAN</t>
  </si>
  <si>
    <t>Auto-flags KPIs graded D or F this month. Add corrective steps, owner, and target date. Update Status as you act on each issue.</t>
  </si>
  <si>
    <t>Current Value</t>
  </si>
  <si>
    <t>Issue / Flag</t>
  </si>
  <si>
    <t>Corrective Action</t>
  </si>
  <si>
    <t>Owner</t>
  </si>
  <si>
    <t>Target Date</t>
  </si>
  <si>
    <t>Status</t>
  </si>
  <si>
    <t>Not Started</t>
  </si>
  <si>
    <t>ISSUES FLAGGED THIS MONTH (D/F GRADE)</t>
  </si>
  <si>
    <t>🍽  RESTAURANT ASSOCIATION</t>
  </si>
  <si>
    <t>Monthly KPI Review - Summary Report</t>
  </si>
  <si>
    <t>Period:</t>
  </si>
  <si>
    <t>Location:</t>
  </si>
  <si>
    <t>KEY METRICS</t>
  </si>
  <si>
    <t>SCORECARD SUMMARY</t>
  </si>
  <si>
    <t>© Restaurant Association - Confidential  |  Generated from Monthly KPI Review Template</t>
  </si>
  <si>
    <t>MONTHLY RESTAURANT KPI REVIEW - USER GUIDE</t>
  </si>
  <si>
    <t>WORKSHEET STRUCTURE</t>
  </si>
  <si>
    <t>•  DASHBOARD - executive summary with KPI cards, scorecard table, and charts (sales mix, cost vs target). Includes branding header and period/location selector.</t>
  </si>
  <si>
    <t>•  MONTHLY REVIEW - the core calculation sheet. Select Month and Location at the top; every KPI is computed live and graded A–F against the Benchmarks/Goals sheet.</t>
  </si>
  <si>
    <t>•  12-MONTH TRACKER - trend table and line charts for core KPIs over time, by location, to spot seasonality.</t>
  </si>
  <si>
    <t>•  RAW DATA INPUT - source data entry (one row per month per location). This feeds all other sheets via formulas. Consider hiding or protecting this sheet once your real data is entered.</t>
  </si>
  <si>
    <t>•  BENCHMARKS-GOALS - industry target values for each KPI. Edit the Target column to set your own goals; this drives all grading and conditional formatting.</t>
  </si>
  <si>
    <t>•  ACTION PLAN - automatically flags any KPI graded D or F this month. Fill in corrective action, owner, target date, and status.</t>
  </si>
  <si>
    <t>•  PRINTABLE REPORT - a one-page A4 portrait summary suitable for printing or PDF export.</t>
  </si>
  <si>
    <t>•  INSTRUCTIONS - this sheet.</t>
  </si>
  <si>
    <t>HOW TO USE THIS WORKBOOK</t>
  </si>
  <si>
    <t>•  1. Enter your monthly figures on RAW DATA INPUT - one row per month per location, using the dropdowns for Month and Location.</t>
  </si>
  <si>
    <t>•  2. Go to MONTHLY REVIEW and select the Month and Location you want to analyze - all 37 KPIs recalculate instantly.</t>
  </si>
  <si>
    <t>•  3. Review grades (A–F) against your targets; adjust targets on BENCHMARKS-GOALS if your business has different goals.</t>
  </si>
  <si>
    <t>•  4. Check ACTION PLAN for any D/F-graded KPIs and document your corrective steps.</t>
  </si>
  <si>
    <t>•  5. Review DASHBOARD for the executive summary view, and 12-MONTH TRACKER to see trends over time.</t>
  </si>
  <si>
    <t>•  6. Use PRINTABLE REPORT for a clean one-page summary to print or export as PDF for stakeholders.</t>
  </si>
  <si>
    <t>GRADING METHODOLOGY</t>
  </si>
  <si>
    <t>•  Each KPI with a defined target is scored as a percentage of that target achieved (accounting for whether higher or lower values are better).</t>
  </si>
  <si>
    <t>•  A = 95%+ of target achieved  |  B = 85–94.9%  |  C = 70–84.9%  |  D = 55–69.9%  |  F = below 55%.</t>
  </si>
  <si>
    <t>•  KPIs without a fixed target (e.g. Total Sales, Avg Delivery Time) are marked "Informational" and shown without a letter grade.</t>
  </si>
  <si>
    <t>MULTI-LOCATION USE</t>
  </si>
  <si>
    <t>•  This template supports multiple locations out of the box (see the Location dropdown on Raw Data Input, Monthly Review, and 12-Month Tracker).</t>
  </si>
  <si>
    <t>•  Add new locations by extending the Location list (Data Validation) and adding corresponding rows to Raw Data Input.</t>
  </si>
  <si>
    <t>•  Each sheet recalculates per the selected location - switch the dropdown to compare locations side by side (open two windows of the same file to view two locations at once).</t>
  </si>
  <si>
    <t>CONDITIONAL FORMATTING &amp; SCORECARDS</t>
  </si>
  <si>
    <t>•  Grade cells are colour-coded: green (A/B), amber (C/D), red (F) - applied automatically wherever a Grade column appears.</t>
  </si>
  <si>
    <t>•  Action Plan rows highlight in red when a KPI is flagged (D or F grade) and turn green once Status is marked "Resolved".</t>
  </si>
  <si>
    <t>GOOGLE SHEETS &amp; COMPATIBILITY</t>
  </si>
  <si>
    <t>•  No macros or VBA are used - all logic is formula-based (IF, SUMIFS, IFERROR) for full Google Sheets and Excel Online compatibility.</t>
  </si>
  <si>
    <t>•  Charts will need to be recreated manually if imported into Google Sheets, as chart objects don't always carry over perfectly - the underlying data tables will import correctly.</t>
  </si>
  <si>
    <t>•  Avoid renaming sheet tabs, as formulas reference sheets by name.</t>
  </si>
  <si>
    <t>PRINTING</t>
  </si>
  <si>
    <t>•  Printable Report is pre-configured for A4 portrait with "fit to page" - use File &gt; Print &gt; Print Preview to verify before printing.</t>
  </si>
  <si>
    <t>•  Dashboard and Monthly Review are wide tables best printed in landscape if needed.</t>
  </si>
  <si>
    <t>BRANDING &amp; LICENSE</t>
  </si>
  <si>
    <t>•  This template uses a placeholder Restaurant Association logo and brand colour scheme (blue/dark blue) - replace the logo cell on Dashboard and Printable Report with your actual logo image if desired.</t>
  </si>
  <si>
    <t>•  Provided by Restaurant Association - free for members. © Restaurant Association - Confidential.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</si>
</sst>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6">
    <numFmt numFmtId="164" formatCode="&quot;$&quot;#,##0;&quot;($&quot;#,##0\);\-"/>
    <numFmt numFmtId="165" formatCode="0.0%"/>
    <numFmt numFmtId="166" formatCode="#,##0.0;\(#,##0.0\);\-"/>
    <numFmt numFmtId="167" formatCode="&quot;$&quot;#,##0.00;&quot;($&quot;#,##0.00\);\-"/>
    <numFmt numFmtId="168" formatCode="#,##0;\(#,##0\);\-"/>
    <numFmt numFmtId="169" formatCode="dd/mm/yyyy"/>
  </numFmts>
  <fonts count="39">
    <font>
      <sz val="11.0"/>
      <color theme="1"/>
      <name val="Calibri"/>
      <scheme val="minor"/>
    </font>
    <font>
      <b/>
      <sz val="18.0"/>
      <color rgb="FFFFFFFF"/>
      <name val="Arial"/>
    </font>
    <font/>
    <font>
      <b/>
      <sz val="16.0"/>
      <color rgb="FFFFFFFF"/>
      <name val="Arial"/>
    </font>
    <font>
      <b/>
      <sz val="10.0"/>
      <color rgb="FFFFFFFF"/>
      <name val="Arial"/>
    </font>
    <font>
      <b/>
      <sz val="10.0"/>
      <color rgb="FF0E2F44"/>
      <name val="Arial"/>
    </font>
    <font>
      <i/>
      <sz val="9.0"/>
      <color rgb="FF7F8C8D"/>
      <name val="Arial"/>
    </font>
    <font>
      <b/>
      <sz val="11.0"/>
      <color rgb="FFFFFFFF"/>
      <name val="Arial"/>
    </font>
    <font>
      <b/>
      <sz val="16.0"/>
      <color rgb="FF0E2F44"/>
      <name val="Arial"/>
    </font>
    <font>
      <b/>
      <sz val="8.0"/>
      <color rgb="FF2C3E50"/>
      <name val="Arial"/>
    </font>
    <font>
      <b/>
      <sz val="9.0"/>
      <color rgb="FF1A5276"/>
      <name val="Arial"/>
    </font>
    <font>
      <b/>
      <sz val="8.0"/>
      <color rgb="FFFFFFFF"/>
      <name val="Arial"/>
    </font>
    <font>
      <sz val="8.0"/>
      <color rgb="FF2C3E50"/>
      <name val="Arial"/>
    </font>
    <font>
      <sz val="11.0"/>
      <color theme="1"/>
      <name val="Calibri"/>
    </font>
    <font>
      <sz val="9.0"/>
      <color rgb="FF2C3E50"/>
      <name val="Arial"/>
    </font>
    <font>
      <b/>
      <sz val="10.0"/>
      <color theme="1"/>
      <name val="Cambria"/>
    </font>
    <font>
      <b/>
      <sz val="9.0"/>
      <color rgb="FFFFFFFF"/>
      <name val="Arial"/>
    </font>
    <font>
      <sz val="9.0"/>
      <color rgb="FF7F8C8D"/>
      <name val="Arial"/>
    </font>
    <font>
      <sz val="10.0"/>
      <color rgb="FF2C3E50"/>
      <name val="Arial"/>
    </font>
    <font>
      <b/>
      <sz val="10.0"/>
      <color rgb="FF0000FF"/>
      <name val="Arial"/>
    </font>
    <font>
      <i/>
      <sz val="8.0"/>
      <color rgb="FF7F8C8D"/>
      <name val="Arial"/>
    </font>
    <font>
      <b/>
      <sz val="11.0"/>
      <color rgb="FF0000FF"/>
      <name val="Arial"/>
    </font>
    <font>
      <b/>
      <sz val="7.0"/>
      <color rgb="FFFFFFFF"/>
      <name val="Arial"/>
    </font>
    <font>
      <sz val="8.0"/>
      <color rgb="FF0000FF"/>
      <name val="Arial"/>
    </font>
    <font>
      <i/>
      <sz val="8.0"/>
      <color rgb="FF7F8C8D"/>
      <name val="Cambria"/>
    </font>
    <font>
      <b/>
      <sz val="10.0"/>
      <color theme="1"/>
      <name val="Arial"/>
    </font>
    <font>
      <b/>
      <sz val="11.0"/>
      <color theme="1"/>
      <name val="Arial"/>
    </font>
    <font>
      <sz val="7.0"/>
      <color rgb="FF7F8C8D"/>
      <name val="Cambria"/>
    </font>
    <font>
      <i/>
      <sz val="9.0"/>
      <color rgb="FFE74C3C"/>
      <name val="Cambria"/>
    </font>
    <font>
      <b/>
      <sz val="9.0"/>
      <color rgb="FF2C3E50"/>
      <name val="Arial"/>
    </font>
    <font>
      <b/>
      <sz val="12.0"/>
      <color rgb="FFFFFFFF"/>
      <name val="Cambria"/>
    </font>
    <font>
      <sz val="9.0"/>
      <color theme="1"/>
      <name val="Calibri"/>
    </font>
    <font>
      <i/>
      <sz val="9.0"/>
      <color rgb="FFFFFFFF"/>
      <name val="Arial"/>
    </font>
    <font>
      <b/>
      <sz val="9.0"/>
      <color theme="1"/>
      <name val="Cambria"/>
    </font>
    <font>
      <b/>
      <sz val="9.0"/>
      <color rgb="FF1A5276"/>
      <name val="Cambria"/>
    </font>
    <font>
      <b/>
      <sz val="9.0"/>
      <color rgb="FF0E2F44"/>
      <name val="Cambria"/>
    </font>
    <font>
      <b/>
      <sz val="9.0"/>
      <color rgb="FF2C3E50"/>
      <name val="Cambria"/>
    </font>
    <font>
      <i/>
      <sz val="9.0"/>
      <color rgb="FF7F8C8D"/>
      <name val="Cambria"/>
    </font>
    <font>
      <b/>
      <sz val="12.0"/>
      <color rgb="FFFFFFFF"/>
      <name val="Arial"/>
    </font>
  </fonts>
  <fills count="16">
    <fill>
      <patternFill patternType="none"/>
    </fill>
    <fill>
      <patternFill patternType="lightGray"/>
    </fill>
    <fill>
      <patternFill patternType="solid">
        <fgColor rgb="FF0E2F44"/>
        <bgColor rgb="FF0E2F44"/>
      </patternFill>
    </fill>
    <fill>
      <patternFill patternType="solid">
        <fgColor rgb="FF1A5276"/>
        <bgColor rgb="FF1A5276"/>
      </patternFill>
    </fill>
    <fill>
      <patternFill patternType="solid">
        <fgColor rgb="FFECF0F1"/>
        <bgColor rgb="FFECF0F1"/>
      </patternFill>
    </fill>
    <fill>
      <patternFill patternType="solid">
        <fgColor rgb="FFFFF3CD"/>
        <bgColor rgb="FFFFF3CD"/>
      </patternFill>
    </fill>
    <fill>
      <patternFill patternType="solid">
        <fgColor rgb="FFFFFFFF"/>
        <bgColor rgb="FFFFFFFF"/>
      </patternFill>
    </fill>
    <fill>
      <patternFill patternType="solid">
        <fgColor rgb="FF2C3E50"/>
        <bgColor rgb="FF2C3E50"/>
      </patternFill>
    </fill>
    <fill>
      <patternFill patternType="solid">
        <fgColor rgb="FF7F8C8D"/>
        <bgColor rgb="FF7F8C8D"/>
      </patternFill>
    </fill>
    <fill>
      <patternFill patternType="solid">
        <fgColor rgb="FFFDFEFE"/>
        <bgColor rgb="FFFDFEFE"/>
      </patternFill>
    </fill>
    <fill>
      <patternFill patternType="solid">
        <fgColor rgb="FFFADBD8"/>
        <bgColor rgb="FFFADBD8"/>
      </patternFill>
    </fill>
    <fill>
      <patternFill patternType="solid">
        <fgColor rgb="FF27AE60"/>
        <bgColor rgb="FF27AE60"/>
      </patternFill>
    </fill>
    <fill>
      <patternFill patternType="solid">
        <fgColor rgb="FFD5F5E3"/>
        <bgColor rgb="FFD5F5E3"/>
      </patternFill>
    </fill>
    <fill>
      <patternFill patternType="solid">
        <fgColor rgb="FFF39C12"/>
        <bgColor rgb="FFF39C12"/>
      </patternFill>
    </fill>
    <fill>
      <patternFill patternType="solid">
        <fgColor rgb="FFFDEBD0"/>
        <bgColor rgb="FFFDEBD0"/>
      </patternFill>
    </fill>
    <fill>
      <patternFill patternType="solid">
        <fgColor rgb="FFE74C3C"/>
        <bgColor rgb="FFE74C3C"/>
      </patternFill>
    </fill>
  </fills>
  <borders count="12">
    <border/>
    <border>
      <left/>
      <top/>
    </border>
    <border>
      <top/>
    </border>
    <border>
      <right/>
      <top/>
    </border>
    <border>
      <left/>
      <bottom/>
    </border>
    <border>
      <bottom/>
    </border>
    <border>
      <right/>
      <bottom/>
    </border>
    <border>
      <left/>
      <right/>
      <top/>
      <bottom/>
    </border>
    <border>
      <left/>
      <top/>
      <bottom/>
    </border>
    <border>
      <right/>
      <top/>
      <bottom/>
    </border>
    <border>
      <top/>
      <bottom/>
    </border>
    <border>
      <left style="thin">
        <color rgb="FFBDBDBD"/>
      </left>
      <right style="thin">
        <color rgb="FFBDBDBD"/>
      </right>
      <top style="thin">
        <color rgb="FFBDBDBD"/>
      </top>
      <bottom style="thin">
        <color rgb="FFBDBDBD"/>
      </bottom>
    </border>
  </borders>
  <cellStyleXfs count="1">
    <xf borderId="0" fillId="0" fontId="0" numFmtId="0" applyAlignment="1" applyFont="1"/>
  </cellStyleXfs>
  <cellXfs count="96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shrinkToFit="0" vertical="center" wrapText="1"/>
    </xf>
    <xf borderId="2" fillId="0" fontId="2" numFmtId="0" xfId="0" applyBorder="1" applyFont="1"/>
    <xf borderId="3" fillId="0" fontId="2" numFmtId="0" xfId="0" applyBorder="1" applyFont="1"/>
    <xf borderId="1" fillId="2" fontId="3" numFmtId="0" xfId="0" applyAlignment="1" applyBorder="1" applyFont="1">
      <alignment horizontal="center" shrinkToFit="0" vertical="center" wrapText="1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7" fillId="3" fontId="4" numFmtId="0" xfId="0" applyAlignment="1" applyBorder="1" applyFill="1" applyFont="1">
      <alignment horizontal="right" vertical="center"/>
    </xf>
    <xf borderId="8" fillId="4" fontId="5" numFmtId="0" xfId="0" applyAlignment="1" applyBorder="1" applyFill="1" applyFont="1">
      <alignment horizontal="center" shrinkToFit="0" vertical="center" wrapText="1"/>
    </xf>
    <xf borderId="9" fillId="0" fontId="2" numFmtId="0" xfId="0" applyBorder="1" applyFont="1"/>
    <xf borderId="10" fillId="0" fontId="2" numFmtId="0" xfId="0" applyBorder="1" applyFont="1"/>
    <xf borderId="8" fillId="5" fontId="6" numFmtId="0" xfId="0" applyAlignment="1" applyBorder="1" applyFill="1" applyFont="1">
      <alignment horizontal="left" shrinkToFit="0" vertical="center" wrapText="1"/>
    </xf>
    <xf borderId="8" fillId="2" fontId="7" numFmtId="0" xfId="0" applyAlignment="1" applyBorder="1" applyFont="1">
      <alignment horizontal="center" shrinkToFit="0" vertical="center" wrapText="1"/>
    </xf>
    <xf borderId="8" fillId="4" fontId="8" numFmtId="164" xfId="0" applyAlignment="1" applyBorder="1" applyFont="1" applyNumberFormat="1">
      <alignment horizontal="center" shrinkToFit="0" vertical="center" wrapText="1"/>
    </xf>
    <xf borderId="8" fillId="4" fontId="8" numFmtId="165" xfId="0" applyAlignment="1" applyBorder="1" applyFont="1" applyNumberFormat="1">
      <alignment horizontal="center" shrinkToFit="0" vertical="center" wrapText="1"/>
    </xf>
    <xf borderId="8" fillId="4" fontId="9" numFmtId="0" xfId="0" applyAlignment="1" applyBorder="1" applyFont="1">
      <alignment horizontal="center" shrinkToFit="0" vertical="center" wrapText="1"/>
    </xf>
    <xf borderId="8" fillId="4" fontId="9" numFmtId="0" xfId="0" applyAlignment="1" applyBorder="1" applyFont="1">
      <alignment horizontal="center" readingOrder="0" shrinkToFit="0" vertical="center" wrapText="1"/>
    </xf>
    <xf borderId="8" fillId="6" fontId="10" numFmtId="0" xfId="0" applyAlignment="1" applyBorder="1" applyFill="1" applyFont="1">
      <alignment horizontal="center" shrinkToFit="0" vertical="center" wrapText="1"/>
    </xf>
    <xf borderId="8" fillId="7" fontId="4" numFmtId="0" xfId="0" applyAlignment="1" applyBorder="1" applyFill="1" applyFont="1">
      <alignment horizontal="center" shrinkToFit="0" vertical="center" wrapText="1"/>
    </xf>
    <xf borderId="7" fillId="8" fontId="11" numFmtId="0" xfId="0" applyAlignment="1" applyBorder="1" applyFill="1" applyFont="1">
      <alignment horizontal="center" shrinkToFit="0" vertical="center" wrapText="1"/>
    </xf>
    <xf borderId="0" fillId="0" fontId="12" numFmtId="0" xfId="0" applyFont="1"/>
    <xf borderId="0" fillId="0" fontId="13" numFmtId="165" xfId="0" applyFont="1" applyNumberFormat="1"/>
    <xf borderId="7" fillId="8" fontId="11" numFmtId="0" xfId="0" applyBorder="1" applyFont="1"/>
    <xf borderId="8" fillId="9" fontId="14" numFmtId="0" xfId="0" applyAlignment="1" applyBorder="1" applyFill="1" applyFont="1">
      <alignment horizontal="left" shrinkToFit="0" vertical="center" wrapText="1"/>
    </xf>
    <xf borderId="0" fillId="0" fontId="14" numFmtId="165" xfId="0" applyAlignment="1" applyFont="1" applyNumberFormat="1">
      <alignment horizontal="center" shrinkToFit="0" vertical="center" wrapText="1"/>
    </xf>
    <xf borderId="0" fillId="0" fontId="15" numFmtId="0" xfId="0" applyAlignment="1" applyFont="1">
      <alignment horizontal="center" shrinkToFit="0" vertical="center" wrapText="1"/>
    </xf>
    <xf borderId="0" fillId="0" fontId="12" numFmtId="0" xfId="0" applyAlignment="1" applyFont="1">
      <alignment readingOrder="0"/>
    </xf>
    <xf borderId="8" fillId="9" fontId="14" numFmtId="0" xfId="0" applyAlignment="1" applyBorder="1" applyFont="1">
      <alignment horizontal="left" readingOrder="0" shrinkToFit="0" vertical="center" wrapText="1"/>
    </xf>
    <xf borderId="0" fillId="0" fontId="14" numFmtId="166" xfId="0" applyAlignment="1" applyFont="1" applyNumberFormat="1">
      <alignment horizontal="center" shrinkToFit="0" vertical="center" wrapText="1"/>
    </xf>
    <xf borderId="7" fillId="7" fontId="16" numFmtId="0" xfId="0" applyAlignment="1" applyBorder="1" applyFont="1">
      <alignment horizontal="center" shrinkToFit="0" vertical="center" wrapText="1"/>
    </xf>
    <xf borderId="11" fillId="0" fontId="17" numFmtId="0" xfId="0" applyBorder="1" applyFont="1"/>
    <xf borderId="11" fillId="0" fontId="10" numFmtId="0" xfId="0" applyAlignment="1" applyBorder="1" applyFont="1">
      <alignment horizontal="left" shrinkToFit="0" vertical="center" wrapText="1"/>
    </xf>
    <xf borderId="11" fillId="9" fontId="18" numFmtId="0" xfId="0" applyAlignment="1" applyBorder="1" applyFont="1">
      <alignment horizontal="left" shrinkToFit="0" vertical="center" wrapText="1"/>
    </xf>
    <xf borderId="11" fillId="0" fontId="17" numFmtId="0" xfId="0" applyAlignment="1" applyBorder="1" applyFont="1">
      <alignment horizontal="center" shrinkToFit="0" vertical="center" wrapText="1"/>
    </xf>
    <xf borderId="11" fillId="4" fontId="19" numFmtId="164" xfId="0" applyAlignment="1" applyBorder="1" applyFont="1" applyNumberFormat="1">
      <alignment horizontal="center" shrinkToFit="0" vertical="center" wrapText="1"/>
    </xf>
    <xf borderId="11" fillId="0" fontId="20" numFmtId="0" xfId="0" applyAlignment="1" applyBorder="1" applyFont="1">
      <alignment horizontal="left" shrinkToFit="0" vertical="center" wrapText="1"/>
    </xf>
    <xf borderId="11" fillId="10" fontId="19" numFmtId="165" xfId="0" applyAlignment="1" applyBorder="1" applyFill="1" applyFont="1" applyNumberFormat="1">
      <alignment horizontal="center" shrinkToFit="0" vertical="center" wrapText="1"/>
    </xf>
    <xf borderId="11" fillId="10" fontId="19" numFmtId="167" xfId="0" applyAlignment="1" applyBorder="1" applyFont="1" applyNumberFormat="1">
      <alignment horizontal="center" shrinkToFit="0" vertical="center" wrapText="1"/>
    </xf>
    <xf borderId="11" fillId="10" fontId="19" numFmtId="164" xfId="0" applyAlignment="1" applyBorder="1" applyFont="1" applyNumberFormat="1">
      <alignment horizontal="center" shrinkToFit="0" vertical="center" wrapText="1"/>
    </xf>
    <xf borderId="11" fillId="10" fontId="19" numFmtId="166" xfId="0" applyAlignment="1" applyBorder="1" applyFont="1" applyNumberFormat="1">
      <alignment horizontal="center" shrinkToFit="0" vertical="center" wrapText="1"/>
    </xf>
    <xf borderId="11" fillId="10" fontId="19" numFmtId="168" xfId="0" applyAlignment="1" applyBorder="1" applyFont="1" applyNumberFormat="1">
      <alignment horizontal="center" shrinkToFit="0" vertical="center" wrapText="1"/>
    </xf>
    <xf borderId="7" fillId="11" fontId="7" numFmtId="0" xfId="0" applyAlignment="1" applyBorder="1" applyFill="1" applyFont="1">
      <alignment horizontal="center" shrinkToFit="0" vertical="center" wrapText="1"/>
    </xf>
    <xf borderId="0" fillId="0" fontId="18" numFmtId="0" xfId="0" applyAlignment="1" applyFont="1">
      <alignment horizontal="left" shrinkToFit="0" vertical="center" wrapText="1"/>
    </xf>
    <xf borderId="7" fillId="12" fontId="7" numFmtId="0" xfId="0" applyAlignment="1" applyBorder="1" applyFill="1" applyFont="1">
      <alignment horizontal="center" shrinkToFit="0" vertical="center" wrapText="1"/>
    </xf>
    <xf borderId="7" fillId="13" fontId="7" numFmtId="0" xfId="0" applyAlignment="1" applyBorder="1" applyFill="1" applyFont="1">
      <alignment horizontal="center" shrinkToFit="0" vertical="center" wrapText="1"/>
    </xf>
    <xf borderId="7" fillId="14" fontId="7" numFmtId="0" xfId="0" applyAlignment="1" applyBorder="1" applyFill="1" applyFont="1">
      <alignment horizontal="center" shrinkToFit="0" vertical="center" wrapText="1"/>
    </xf>
    <xf borderId="7" fillId="15" fontId="7" numFmtId="0" xfId="0" applyAlignment="1" applyBorder="1" applyFill="1" applyFont="1">
      <alignment horizontal="center" shrinkToFit="0" vertical="center" wrapText="1"/>
    </xf>
    <xf borderId="7" fillId="2" fontId="7" numFmtId="0" xfId="0" applyAlignment="1" applyBorder="1" applyFont="1">
      <alignment horizontal="right" vertical="center"/>
    </xf>
    <xf borderId="11" fillId="5" fontId="21" numFmtId="0" xfId="0" applyAlignment="1" applyBorder="1" applyFont="1">
      <alignment horizontal="center" shrinkToFit="0" vertical="center" wrapText="1"/>
    </xf>
    <xf borderId="7" fillId="7" fontId="22" numFmtId="0" xfId="0" applyAlignment="1" applyBorder="1" applyFont="1">
      <alignment horizontal="center" shrinkToFit="0" vertical="center" wrapText="1"/>
    </xf>
    <xf borderId="11" fillId="9" fontId="12" numFmtId="0" xfId="0" applyAlignment="1" applyBorder="1" applyFont="1">
      <alignment horizontal="center" shrinkToFit="0" vertical="center" wrapText="1"/>
    </xf>
    <xf borderId="11" fillId="10" fontId="23" numFmtId="164" xfId="0" applyAlignment="1" applyBorder="1" applyFont="1" applyNumberFormat="1">
      <alignment horizontal="center" shrinkToFit="0" vertical="center" wrapText="1"/>
    </xf>
    <xf borderId="11" fillId="10" fontId="23" numFmtId="0" xfId="0" applyAlignment="1" applyBorder="1" applyFont="1">
      <alignment horizontal="center" shrinkToFit="0" vertical="center" wrapText="1"/>
    </xf>
    <xf borderId="11" fillId="10" fontId="23" numFmtId="165" xfId="0" applyAlignment="1" applyBorder="1" applyFont="1" applyNumberFormat="1">
      <alignment horizontal="center" shrinkToFit="0" vertical="center" wrapText="1"/>
    </xf>
    <xf borderId="0" fillId="0" fontId="24" numFmtId="0" xfId="0" applyFont="1"/>
    <xf borderId="11" fillId="0" fontId="25" numFmtId="164" xfId="0" applyAlignment="1" applyBorder="1" applyFont="1" applyNumberFormat="1">
      <alignment horizontal="center" shrinkToFit="0" vertical="center" wrapText="1"/>
    </xf>
    <xf borderId="11" fillId="0" fontId="26" numFmtId="0" xfId="0" applyAlignment="1" applyBorder="1" applyFont="1">
      <alignment horizontal="center" shrinkToFit="0" vertical="center" wrapText="1"/>
    </xf>
    <xf borderId="11" fillId="0" fontId="17" numFmtId="164" xfId="0" applyAlignment="1" applyBorder="1" applyFont="1" applyNumberFormat="1">
      <alignment horizontal="center" shrinkToFit="0" vertical="center" wrapText="1"/>
    </xf>
    <xf borderId="11" fillId="0" fontId="14" numFmtId="0" xfId="0" applyAlignment="1" applyBorder="1" applyFont="1">
      <alignment horizontal="center" shrinkToFit="0" vertical="center" wrapText="1"/>
    </xf>
    <xf borderId="0" fillId="0" fontId="27" numFmtId="0" xfId="0" applyFont="1"/>
    <xf borderId="11" fillId="0" fontId="25" numFmtId="165" xfId="0" applyAlignment="1" applyBorder="1" applyFont="1" applyNumberFormat="1">
      <alignment horizontal="center" shrinkToFit="0" vertical="center" wrapText="1"/>
    </xf>
    <xf borderId="11" fillId="0" fontId="17" numFmtId="165" xfId="0" applyAlignment="1" applyBorder="1" applyFont="1" applyNumberFormat="1">
      <alignment horizontal="center" shrinkToFit="0" vertical="center" wrapText="1"/>
    </xf>
    <xf borderId="11" fillId="0" fontId="14" numFmtId="165" xfId="0" applyAlignment="1" applyBorder="1" applyFont="1" applyNumberFormat="1">
      <alignment horizontal="center" shrinkToFit="0" vertical="center" wrapText="1"/>
    </xf>
    <xf borderId="11" fillId="0" fontId="25" numFmtId="167" xfId="0" applyAlignment="1" applyBorder="1" applyFont="1" applyNumberFormat="1">
      <alignment horizontal="center" shrinkToFit="0" vertical="center" wrapText="1"/>
    </xf>
    <xf borderId="11" fillId="0" fontId="17" numFmtId="167" xfId="0" applyAlignment="1" applyBorder="1" applyFont="1" applyNumberFormat="1">
      <alignment horizontal="center" shrinkToFit="0" vertical="center" wrapText="1"/>
    </xf>
    <xf borderId="11" fillId="0" fontId="14" numFmtId="167" xfId="0" applyAlignment="1" applyBorder="1" applyFont="1" applyNumberFormat="1">
      <alignment horizontal="center" shrinkToFit="0" vertical="center" wrapText="1"/>
    </xf>
    <xf borderId="11" fillId="0" fontId="14" numFmtId="164" xfId="0" applyAlignment="1" applyBorder="1" applyFont="1" applyNumberFormat="1">
      <alignment horizontal="center" shrinkToFit="0" vertical="center" wrapText="1"/>
    </xf>
    <xf borderId="11" fillId="0" fontId="25" numFmtId="166" xfId="0" applyAlignment="1" applyBorder="1" applyFont="1" applyNumberFormat="1">
      <alignment horizontal="center" shrinkToFit="0" vertical="center" wrapText="1"/>
    </xf>
    <xf borderId="11" fillId="0" fontId="17" numFmtId="166" xfId="0" applyAlignment="1" applyBorder="1" applyFont="1" applyNumberFormat="1">
      <alignment horizontal="center" shrinkToFit="0" vertical="center" wrapText="1"/>
    </xf>
    <xf borderId="11" fillId="0" fontId="14" numFmtId="166" xfId="0" applyAlignment="1" applyBorder="1" applyFont="1" applyNumberFormat="1">
      <alignment horizontal="center" shrinkToFit="0" vertical="center" wrapText="1"/>
    </xf>
    <xf borderId="11" fillId="0" fontId="25" numFmtId="168" xfId="0" applyAlignment="1" applyBorder="1" applyFont="1" applyNumberFormat="1">
      <alignment horizontal="center" shrinkToFit="0" vertical="center" wrapText="1"/>
    </xf>
    <xf borderId="11" fillId="0" fontId="17" numFmtId="168" xfId="0" applyAlignment="1" applyBorder="1" applyFont="1" applyNumberFormat="1">
      <alignment horizontal="center" shrinkToFit="0" vertical="center" wrapText="1"/>
    </xf>
    <xf borderId="11" fillId="0" fontId="14" numFmtId="168" xfId="0" applyAlignment="1" applyBorder="1" applyFont="1" applyNumberFormat="1">
      <alignment horizontal="center" shrinkToFit="0" vertical="center" wrapText="1"/>
    </xf>
    <xf borderId="7" fillId="9" fontId="18" numFmtId="0" xfId="0" applyAlignment="1" applyBorder="1" applyFont="1">
      <alignment horizontal="left" shrinkToFit="0" vertical="center" wrapText="1"/>
    </xf>
    <xf borderId="11" fillId="0" fontId="15" numFmtId="0" xfId="0" applyAlignment="1" applyBorder="1" applyFont="1">
      <alignment horizontal="center" shrinkToFit="0" vertical="center" wrapText="1"/>
    </xf>
    <xf borderId="11" fillId="0" fontId="28" numFmtId="0" xfId="0" applyAlignment="1" applyBorder="1" applyFont="1">
      <alignment horizontal="left" shrinkToFit="0" vertical="center" wrapText="1"/>
    </xf>
    <xf borderId="11" fillId="10" fontId="13" numFmtId="0" xfId="0" applyAlignment="1" applyBorder="1" applyFont="1">
      <alignment horizontal="left" shrinkToFit="0" vertical="center" wrapText="1"/>
    </xf>
    <xf borderId="11" fillId="10" fontId="13" numFmtId="0" xfId="0" applyAlignment="1" applyBorder="1" applyFont="1">
      <alignment horizontal="center" shrinkToFit="0" vertical="center" wrapText="1"/>
    </xf>
    <xf borderId="11" fillId="10" fontId="13" numFmtId="169" xfId="0" applyAlignment="1" applyBorder="1" applyFont="1" applyNumberFormat="1">
      <alignment horizontal="center" shrinkToFit="0" vertical="center" wrapText="1"/>
    </xf>
    <xf borderId="11" fillId="5" fontId="29" numFmtId="0" xfId="0" applyAlignment="1" applyBorder="1" applyFont="1">
      <alignment horizontal="center" shrinkToFit="0" vertical="center" wrapText="1"/>
    </xf>
    <xf borderId="8" fillId="15" fontId="4" numFmtId="0" xfId="0" applyAlignment="1" applyBorder="1" applyFont="1">
      <alignment horizontal="right" vertical="center"/>
    </xf>
    <xf borderId="7" fillId="15" fontId="30" numFmtId="0" xfId="0" applyAlignment="1" applyBorder="1" applyFont="1">
      <alignment horizontal="center" shrinkToFit="0" vertical="center" wrapText="1"/>
    </xf>
    <xf borderId="8" fillId="2" fontId="16" numFmtId="0" xfId="0" applyAlignment="1" applyBorder="1" applyFont="1">
      <alignment horizontal="left" vertical="center"/>
    </xf>
    <xf borderId="0" fillId="0" fontId="31" numFmtId="0" xfId="0" applyFont="1"/>
    <xf borderId="8" fillId="3" fontId="32" numFmtId="0" xfId="0" applyAlignment="1" applyBorder="1" applyFont="1">
      <alignment horizontal="left" vertical="center"/>
    </xf>
    <xf borderId="0" fillId="0" fontId="33" numFmtId="0" xfId="0" applyFont="1"/>
    <xf borderId="0" fillId="0" fontId="34" numFmtId="0" xfId="0" applyFont="1"/>
    <xf borderId="8" fillId="7" fontId="16" numFmtId="0" xfId="0" applyAlignment="1" applyBorder="1" applyFont="1">
      <alignment horizontal="center" shrinkToFit="0" vertical="center" wrapText="1"/>
    </xf>
    <xf borderId="8" fillId="4" fontId="35" numFmtId="164" xfId="0" applyAlignment="1" applyBorder="1" applyFont="1" applyNumberFormat="1">
      <alignment horizontal="center" shrinkToFit="0" vertical="center" wrapText="1"/>
    </xf>
    <xf borderId="8" fillId="4" fontId="35" numFmtId="165" xfId="0" applyAlignment="1" applyBorder="1" applyFont="1" applyNumberFormat="1">
      <alignment horizontal="center" shrinkToFit="0" vertical="center" wrapText="1"/>
    </xf>
    <xf borderId="8" fillId="4" fontId="36" numFmtId="0" xfId="0" applyAlignment="1" applyBorder="1" applyFont="1">
      <alignment horizontal="center" shrinkToFit="0" vertical="center" wrapText="1"/>
    </xf>
    <xf borderId="7" fillId="8" fontId="16" numFmtId="0" xfId="0" applyAlignment="1" applyBorder="1" applyFont="1">
      <alignment horizontal="center" shrinkToFit="0" vertical="center" wrapText="1"/>
    </xf>
    <xf borderId="0" fillId="0" fontId="33" numFmtId="0" xfId="0" applyAlignment="1" applyFont="1">
      <alignment horizontal="center" shrinkToFit="0" vertical="center" wrapText="1"/>
    </xf>
    <xf borderId="0" fillId="0" fontId="37" numFmtId="0" xfId="0" applyAlignment="1" applyFont="1">
      <alignment horizontal="center" shrinkToFit="0" vertical="center" wrapText="1"/>
    </xf>
    <xf borderId="8" fillId="7" fontId="38" numFmtId="0" xfId="0" applyAlignment="1" applyBorder="1" applyFont="1">
      <alignment horizontal="left" vertical="center"/>
    </xf>
  </cellXfs>
  <cellStyles count="1">
    <cellStyle xfId="0" name="Normal" builtinId="0"/>
  </cellStyles>
  <dxfs count="5">
    <dxf>
      <font>
        <b/>
        <color rgb="FF196F3D"/>
      </font>
      <fill>
        <patternFill patternType="solid">
          <fgColor rgb="FFD5F5E3"/>
          <bgColor rgb="FFD5F5E3"/>
        </patternFill>
      </fill>
      <border/>
    </dxf>
    <dxf>
      <font>
        <b/>
        <color rgb="FFF39C12"/>
      </font>
      <fill>
        <patternFill patternType="solid">
          <fgColor rgb="FFFDEBD0"/>
          <bgColor rgb="FFFDEBD0"/>
        </patternFill>
      </fill>
      <border/>
    </dxf>
    <dxf>
      <font>
        <b/>
        <color rgb="FFE74C3C"/>
      </font>
      <fill>
        <patternFill patternType="solid">
          <fgColor rgb="FFFADBD8"/>
          <bgColor rgb="FFFADBD8"/>
        </patternFill>
      </fill>
      <border/>
    </dxf>
    <dxf>
      <font>
        <b/>
        <color rgb="FF27AE60"/>
      </font>
      <fill>
        <patternFill patternType="solid">
          <fgColor rgb="FFD5F5E3"/>
          <bgColor rgb="FFD5F5E3"/>
        </patternFill>
      </fill>
      <border/>
    </dxf>
    <dxf>
      <font/>
      <fill>
        <patternFill patternType="solid">
          <fgColor rgb="FFFADBD8"/>
          <bgColor rgb="FFFADBD8"/>
        </patternFill>
      </fill>
      <border/>
    </dxf>
  </dxf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2" Type="http://customschemas.google.com/relationships/workbookmetadata" Target="metadata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charts/chart1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Sales Mix</a:t>
            </a:r>
          </a:p>
        </c:rich>
      </c:tx>
      <c:overlay val="0"/>
    </c:title>
    <c:plotArea>
      <c:layout/>
      <c:pieChart>
        <c:varyColors val="1"/>
        <c:ser>
          <c:idx val="0"/>
          <c:order val="0"/>
          <c:dPt>
            <c:idx val="0"/>
            <c:spPr>
              <a:solidFill>
                <a:srgbClr val="4F81BD"/>
              </a:solidFill>
            </c:spPr>
          </c:dPt>
          <c:dPt>
            <c:idx val="1"/>
            <c:spPr>
              <a:solidFill>
                <a:srgbClr val="C0504D"/>
              </a:solidFill>
            </c:spPr>
          </c:dPt>
          <c:dLbls>
            <c:dLbl>
              <c:idx val="0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dLbl>
              <c:idx val="1"/>
              <c:txPr>
                <a:bodyPr/>
                <a:lstStyle/>
                <a:p>
                  <a:pPr lvl="0">
                    <a:defRPr b="0" i="0" sz="1000">
                      <a:latin typeface="Arial"/>
                    </a:defRPr>
                  </a:pPr>
                </a:p>
              </c:txPr>
              <c:showLegendKey val="0"/>
              <c:showVal val="0"/>
              <c:showCatName val="0"/>
              <c:showSerName val="0"/>
              <c:showPercent val="0"/>
              <c:showBubbleSize val="0"/>
            </c:dLbl>
            <c:showLegendKey val="0"/>
            <c:showVal val="0"/>
            <c:showCatName val="0"/>
            <c:showSerName val="0"/>
            <c:showPercent val="0"/>
            <c:showBubbleSize val="0"/>
            <c:showLeaderLines val="1"/>
          </c:dLbls>
          <c:cat>
            <c:strRef>
              <c:f>DASHBOARD!$H$14:$H$15</c:f>
            </c:strRef>
          </c:cat>
          <c:val>
            <c:numRef>
              <c:f>DASHBOARD!$I$14:$I$15</c:f>
              <c:numCache/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firstSliceAng val="0"/>
      </c:pieChart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charts/chart2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Cost % — Actual vs Target</a:t>
            </a:r>
          </a:p>
        </c:rich>
      </c:tx>
      <c:overlay val="0"/>
    </c:title>
    <c:plotArea>
      <c:layout/>
      <c:barChart>
        <c:barDir val="col"/>
        <c:ser>
          <c:idx val="0"/>
          <c:order val="0"/>
          <c:tx>
            <c:v>Actual</c:v>
          </c:tx>
          <c:spPr>
            <a:solidFill>
              <a:srgbClr val="4F81BD"/>
            </a:solidFill>
            <a:ln cmpd="sng">
              <a:noFill/>
            </a:ln>
          </c:spPr>
          <c:cat>
            <c:strRef>
              <c:f>DASHBOARD!$M$15:$M$18</c:f>
            </c:strRef>
          </c:cat>
          <c:val>
            <c:numRef>
              <c:f>DASHBOARD!$N$15:$N$18</c:f>
              <c:numCache/>
            </c:numRef>
          </c:val>
        </c:ser>
        <c:ser>
          <c:idx val="1"/>
          <c:order val="1"/>
          <c:tx>
            <c:v>Target</c:v>
          </c:tx>
          <c:spPr>
            <a:solidFill>
              <a:srgbClr val="C0504D"/>
            </a:solidFill>
            <a:ln cmpd="sng">
              <a:noFill/>
            </a:ln>
          </c:spPr>
          <c:cat>
            <c:strRef>
              <c:f>DASHBOARD!$M$15:$M$18</c:f>
            </c:strRef>
          </c:cat>
          <c:val>
            <c:numRef>
              <c:f>DASHBOARD!$O$15:$O$18</c:f>
              <c:numCache/>
            </c:numRef>
          </c:val>
        </c:ser>
        <c:axId val="1505348395"/>
        <c:axId val="118605285"/>
      </c:barChart>
      <c:catAx>
        <c:axId val="1505348395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18605285"/>
      </c:catAx>
      <c:valAx>
        <c:axId val="118605285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505348395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charts/chart3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Total Sales — 12 Month Trend</a:t>
            </a:r>
          </a:p>
        </c:rich>
      </c:tx>
      <c:overlay val="0"/>
    </c:title>
    <c:plotArea>
      <c:layout/>
      <c:lineChart>
        <c:varyColors val="0"/>
        <c:ser>
          <c:idx val="0"/>
          <c:order val="0"/>
          <c:tx>
            <c:v>Total Sales</c:v>
          </c:tx>
          <c:spPr>
            <a:ln cmpd="sng" w="19050">
              <a:solidFill>
                <a:srgbClr val="4A7EBB">
                  <a:alpha val="100000"/>
                </a:srgbClr>
              </a:solidFill>
              <a:prstDash val="solid"/>
            </a:ln>
          </c:spPr>
          <c:marker>
            <c:symbol val="none"/>
          </c:marker>
          <c:cat>
            <c:strRef>
              <c:f>'12-MONTH TRACKER'!$C$7:$H$7</c:f>
            </c:strRef>
          </c:cat>
          <c:val>
            <c:numRef>
              <c:f>'12-MONTH TRACKER'!$C$8:$H$8</c:f>
              <c:numCache/>
            </c:numRef>
          </c:val>
          <c:smooth val="1"/>
        </c:ser>
        <c:axId val="1220639700"/>
        <c:axId val="1028890512"/>
      </c:lineChart>
      <c:catAx>
        <c:axId val="1220639700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028890512"/>
      </c:catAx>
      <c:valAx>
        <c:axId val="1028890512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220639700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charts/chart4.xml><?xml version="1.0" encoding="utf-8"?>
<c:chartSpace xmlns:a="http://schemas.openxmlformats.org/drawingml/2006/main" xmlns:c="http://schemas.openxmlformats.org/drawingml/2006/chart" xmlns:r="http://schemas.openxmlformats.org/officeDocument/2006/relationships" xmlns:mc="http://schemas.openxmlformats.org/markup-compatibility/2006" xmlns:mv="urn:schemas-microsoft-com:mac:vml" xmlns:c14="http://schemas.microsoft.com/office/drawing/2007/8/2/chart">
  <c:chart>
    <c:title>
      <c:tx>
        <c:rich>
          <a:bodyPr/>
          <a:lstStyle/>
          <a:p>
            <a:pPr lvl="0">
              <a:defRPr b="1" i="0" sz="1800">
                <a:solidFill>
                  <a:srgbClr val="000000"/>
                </a:solidFill>
                <a:latin typeface="Calibri"/>
              </a:defRPr>
            </a:pPr>
            <a:r>
              <a:rPr b="1" i="0" sz="1800">
                <a:solidFill>
                  <a:srgbClr val="000000"/>
                </a:solidFill>
                <a:latin typeface="Calibri"/>
              </a:rPr>
              <a:t>Cost % Trends (Food / Beverage / Labour / Prime)</a:t>
            </a:r>
          </a:p>
        </c:rich>
      </c:tx>
      <c:overlay val="0"/>
    </c:title>
    <c:plotArea>
      <c:layout/>
      <c:lineChart>
        <c:ser>
          <c:idx val="0"/>
          <c:order val="0"/>
          <c:tx>
            <c:v>Food Cost %</c:v>
          </c:tx>
          <c:spPr>
            <a:ln cmpd="sng" w="19050">
              <a:solidFill>
                <a:srgbClr val="4A7EBB">
                  <a:alpha val="100000"/>
                </a:srgbClr>
              </a:solidFill>
              <a:prstDash val="solid"/>
            </a:ln>
          </c:spPr>
          <c:marker>
            <c:symbol val="none"/>
          </c:marker>
          <c:cat>
            <c:strRef>
              <c:f>'12-MONTH TRACKER'!$C$7:$H$7</c:f>
            </c:strRef>
          </c:cat>
          <c:val>
            <c:numRef>
              <c:f>'12-MONTH TRACKER'!$C$9:$H$9</c:f>
              <c:numCache/>
            </c:numRef>
          </c:val>
          <c:smooth val="1"/>
        </c:ser>
        <c:ser>
          <c:idx val="1"/>
          <c:order val="1"/>
          <c:tx>
            <c:v>Beverage Cost %</c:v>
          </c:tx>
          <c:spPr>
            <a:ln cmpd="sng" w="19050">
              <a:solidFill>
                <a:srgbClr val="BE4B48">
                  <a:alpha val="100000"/>
                </a:srgbClr>
              </a:solidFill>
              <a:prstDash val="solid"/>
            </a:ln>
          </c:spPr>
          <c:marker>
            <c:symbol val="none"/>
          </c:marker>
          <c:cat>
            <c:strRef>
              <c:f>'12-MONTH TRACKER'!$C$7:$H$7</c:f>
            </c:strRef>
          </c:cat>
          <c:val>
            <c:numRef>
              <c:f>'12-MONTH TRACKER'!$C$10:$H$10</c:f>
              <c:numCache/>
            </c:numRef>
          </c:val>
          <c:smooth val="1"/>
        </c:ser>
        <c:ser>
          <c:idx val="2"/>
          <c:order val="2"/>
          <c:tx>
            <c:v>Labor Cost %</c:v>
          </c:tx>
          <c:spPr>
            <a:ln cmpd="sng" w="19050">
              <a:solidFill>
                <a:srgbClr val="98B855">
                  <a:alpha val="100000"/>
                </a:srgbClr>
              </a:solidFill>
              <a:prstDash val="solid"/>
            </a:ln>
          </c:spPr>
          <c:marker>
            <c:symbol val="none"/>
          </c:marker>
          <c:cat>
            <c:strRef>
              <c:f>'12-MONTH TRACKER'!$C$7:$H$7</c:f>
            </c:strRef>
          </c:cat>
          <c:val>
            <c:numRef>
              <c:f>'12-MONTH TRACKER'!$C$11:$H$11</c:f>
              <c:numCache/>
            </c:numRef>
          </c:val>
          <c:smooth val="1"/>
        </c:ser>
        <c:ser>
          <c:idx val="3"/>
          <c:order val="3"/>
          <c:tx>
            <c:v>Prime Cost %</c:v>
          </c:tx>
          <c:spPr>
            <a:ln cmpd="sng" w="19050">
              <a:solidFill>
                <a:srgbClr val="7D5FA0">
                  <a:alpha val="100000"/>
                </a:srgbClr>
              </a:solidFill>
              <a:prstDash val="solid"/>
            </a:ln>
          </c:spPr>
          <c:marker>
            <c:symbol val="none"/>
          </c:marker>
          <c:cat>
            <c:strRef>
              <c:f>'12-MONTH TRACKER'!$C$7:$H$7</c:f>
            </c:strRef>
          </c:cat>
          <c:val>
            <c:numRef>
              <c:f>'12-MONTH TRACKER'!$C$12:$H$12</c:f>
              <c:numCache/>
            </c:numRef>
          </c:val>
          <c:smooth val="1"/>
        </c:ser>
        <c:axId val="1799050452"/>
        <c:axId val="1541009720"/>
      </c:lineChart>
      <c:catAx>
        <c:axId val="179905045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541009720"/>
      </c:catAx>
      <c:valAx>
        <c:axId val="1541009720"/>
        <c:scaling>
          <c:orientation val="minMax"/>
        </c:scaling>
        <c:delete val="0"/>
        <c:axPos val="l"/>
        <c:majorGridlines>
          <c:spPr>
            <a:ln>
              <a:solidFill>
                <a:srgbClr val="B7B7B7"/>
              </a:solidFill>
            </a:ln>
          </c:spPr>
        </c:majorGridlines>
        <c:title>
          <c:tx>
            <c:rich>
              <a:bodyPr/>
              <a:lstStyle/>
              <a:p>
                <a:pPr lvl="0">
                  <a:defRPr b="0">
                    <a:solidFill>
                      <a:srgbClr val="000000"/>
                    </a:solidFill>
                    <a:latin typeface="+mn-lt"/>
                  </a:defRPr>
                </a:pPr>
                <a:r>
                  <a:rPr b="0">
                    <a:solidFill>
                      <a:srgbClr val="000000"/>
                    </a:solidFill>
                    <a:latin typeface="+mn-lt"/>
                  </a:rPr>
                  <a:t/>
                </a:r>
              </a:p>
            </c:rich>
          </c:tx>
          <c:overlay val="0"/>
        </c:title>
        <c:numFmt formatCode="General" sourceLinked="1"/>
        <c:majorTickMark val="none"/>
        <c:minorTickMark val="none"/>
        <c:tickLblPos val="nextTo"/>
        <c:spPr>
          <a:ln>
            <a:noFill/>
          </a:ln>
        </c:spPr>
        <c:txPr>
          <a:bodyPr/>
          <a:lstStyle/>
          <a:p>
            <a:pPr lvl="0">
              <a:defRPr b="0" i="0" sz="1000">
                <a:solidFill>
                  <a:srgbClr val="000000"/>
                </a:solidFill>
                <a:latin typeface="Calibri"/>
              </a:defRPr>
            </a:pPr>
          </a:p>
        </c:txPr>
        <c:crossAx val="1799050452"/>
      </c:valAx>
    </c:plotArea>
    <c:legend>
      <c:legendPos val="r"/>
      <c:overlay val="0"/>
      <c:txPr>
        <a:bodyPr/>
        <a:lstStyle/>
        <a:p>
          <a:pPr lvl="0">
            <a:defRPr b="0" i="0" sz="1000">
              <a:solidFill>
                <a:srgbClr val="000000"/>
              </a:solidFill>
              <a:latin typeface="Calibri"/>
            </a:defRPr>
          </a:pPr>
        </a:p>
      </c:txPr>
    </c:legend>
    <c:plotVisOnly val="1"/>
  </c:chart>
  <c:spPr>
    <a:solidFill>
      <a:srgbClr val="FFFFFF"/>
    </a:solidFill>
  </c:spPr>
</c:chartSpace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<Relationships xmlns="http://schemas.openxmlformats.org/package/2006/relationships"><Relationship Id="rId1" Type="http://schemas.openxmlformats.org/officeDocument/2006/relationships/chart" Target="../charts/chart3.xml"/><Relationship Id="rId2" Type="http://schemas.openxmlformats.org/officeDocument/2006/relationships/chart" Target="../charts/chart4.xml"/><Relationship Id="rId3" Type="http://schemas.openxmlformats.org/officeDocument/2006/relationships/image" Target="../media/image1.png"/></Relationships>
</file>

<file path=xl/drawings/_rels/drawing6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6</xdr:col>
      <xdr:colOff>285750</xdr:colOff>
      <xdr:row>15</xdr:row>
      <xdr:rowOff>209550</xdr:rowOff>
    </xdr:from>
    <xdr:ext cx="3400425" cy="2533650"/>
    <xdr:graphicFrame>
      <xdr:nvGraphicFramePr>
        <xdr:cNvPr id="611294216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12</xdr:col>
      <xdr:colOff>0</xdr:colOff>
      <xdr:row>20</xdr:row>
      <xdr:rowOff>0</xdr:rowOff>
    </xdr:from>
    <xdr:ext cx="4086225" cy="2571750"/>
    <xdr:graphicFrame>
      <xdr:nvGraphicFramePr>
        <xdr:cNvPr id="404543968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200025</xdr:colOff>
      <xdr:row>0</xdr:row>
      <xdr:rowOff>0</xdr:rowOff>
    </xdr:from>
    <xdr:ext cx="1457325" cy="514350"/>
    <xdr:pic>
      <xdr:nvPicPr>
        <xdr:cNvPr id="0" name="image1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0</xdr:rowOff>
    </xdr:from>
    <xdr:ext cx="1457325" cy="5143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190500</xdr:colOff>
      <xdr:row>0</xdr:row>
      <xdr:rowOff>0</xdr:rowOff>
    </xdr:from>
    <xdr:ext cx="1457325" cy="5143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0</xdr:rowOff>
    </xdr:from>
    <xdr:ext cx="1457325" cy="5143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1</xdr:col>
      <xdr:colOff>0</xdr:colOff>
      <xdr:row>19</xdr:row>
      <xdr:rowOff>0</xdr:rowOff>
    </xdr:from>
    <xdr:ext cx="6810375" cy="3019425"/>
    <xdr:graphicFrame>
      <xdr:nvGraphicFramePr>
        <xdr:cNvPr id="882844988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1"/>
        </a:graphicData>
      </a:graphic>
    </xdr:graphicFrame>
    <xdr:clientData fLocksWithSheet="0"/>
  </xdr:oneCellAnchor>
  <xdr:oneCellAnchor>
    <xdr:from>
      <xdr:col>10</xdr:col>
      <xdr:colOff>0</xdr:colOff>
      <xdr:row>19</xdr:row>
      <xdr:rowOff>0</xdr:rowOff>
    </xdr:from>
    <xdr:ext cx="6858000" cy="3019425"/>
    <xdr:graphicFrame>
      <xdr:nvGraphicFramePr>
        <xdr:cNvPr id="1714222807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r:id="rId2"/>
        </a:graphicData>
      </a:graphic>
    </xdr:graphicFrame>
    <xdr:clientData fLocksWithSheet="0"/>
  </xdr:oneCellAnchor>
  <xdr:oneCellAnchor>
    <xdr:from>
      <xdr:col>0</xdr:col>
      <xdr:colOff>200025</xdr:colOff>
      <xdr:row>0</xdr:row>
      <xdr:rowOff>0</xdr:rowOff>
    </xdr:from>
    <xdr:ext cx="1457325" cy="514350"/>
    <xdr:pic>
      <xdr:nvPicPr>
        <xdr:cNvPr id="0" name="image1.png" title="Image"/>
        <xdr:cNvPicPr preferRelativeResize="0"/>
      </xdr:nvPicPr>
      <xdr:blipFill>
        <a:blip cstate="print" r:embed="rId3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238125</xdr:colOff>
      <xdr:row>0</xdr:row>
      <xdr:rowOff>0</xdr:rowOff>
    </xdr:from>
    <xdr:ext cx="1457325" cy="51435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180975</xdr:colOff>
      <xdr:row>0</xdr:row>
      <xdr:rowOff>9525</xdr:rowOff>
    </xdr:from>
    <xdr:ext cx="1362075" cy="48577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4.0"/>
    <col customWidth="1" min="3" max="3" width="6.0"/>
    <col customWidth="1" min="4" max="4" width="12.0"/>
    <col customWidth="1" min="5" max="5" width="8.0"/>
    <col customWidth="1" min="6" max="6" width="4.0"/>
    <col customWidth="1" min="7" max="19" width="10.0"/>
    <col customWidth="1" min="20" max="26" width="8.71"/>
  </cols>
  <sheetData>
    <row r="1" ht="24.0" customHeight="1">
      <c r="B1" s="1"/>
      <c r="C1" s="2"/>
      <c r="D1" s="3"/>
      <c r="E1" s="4" t="s">
        <v>0</v>
      </c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3"/>
      <c r="T1" s="4"/>
      <c r="U1" s="2"/>
      <c r="V1" s="2"/>
      <c r="W1" s="2"/>
      <c r="X1" s="2"/>
      <c r="Y1" s="2"/>
      <c r="Z1" s="3"/>
    </row>
    <row r="2" ht="24.0" customHeight="1">
      <c r="B2" s="5"/>
      <c r="C2" s="6"/>
      <c r="D2" s="7"/>
      <c r="E2" s="5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7"/>
      <c r="T2" s="5"/>
      <c r="U2" s="6"/>
      <c r="V2" s="6"/>
      <c r="W2" s="6"/>
      <c r="X2" s="6"/>
      <c r="Y2" s="6"/>
      <c r="Z2" s="7"/>
    </row>
    <row r="4" ht="19.5" customHeight="1">
      <c r="B4" s="8" t="s">
        <v>1</v>
      </c>
      <c r="D4" s="9" t="str">
        <f>'MONTHLY REVIEW'!D5</f>
        <v>2026-06</v>
      </c>
      <c r="E4" s="10"/>
      <c r="F4" s="8" t="s">
        <v>2</v>
      </c>
      <c r="H4" s="9" t="str">
        <f>'MONTHLY REVIEW'!H5</f>
        <v>Main Street (Flagship)</v>
      </c>
      <c r="I4" s="11"/>
      <c r="J4" s="10"/>
    </row>
    <row r="5" ht="18.0" customHeight="1">
      <c r="B5" s="12" t="s">
        <v>3</v>
      </c>
      <c r="C5" s="11"/>
      <c r="D5" s="11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0"/>
    </row>
    <row r="7" ht="21.75" customHeight="1">
      <c r="B7" s="13" t="s">
        <v>4</v>
      </c>
      <c r="C7" s="11"/>
      <c r="D7" s="11"/>
      <c r="E7" s="11"/>
      <c r="F7" s="11"/>
      <c r="G7" s="11"/>
      <c r="H7" s="11"/>
      <c r="I7" s="11"/>
      <c r="J7" s="11"/>
      <c r="K7" s="11"/>
      <c r="L7" s="11"/>
      <c r="M7" s="11"/>
      <c r="N7" s="11"/>
      <c r="O7" s="11"/>
      <c r="P7" s="11"/>
      <c r="Q7" s="11"/>
      <c r="R7" s="11"/>
      <c r="S7" s="10"/>
      <c r="T7" s="13"/>
      <c r="U7" s="11"/>
      <c r="V7" s="11"/>
      <c r="W7" s="11"/>
      <c r="X7" s="11"/>
      <c r="Y7" s="11"/>
      <c r="Z7" s="10"/>
    </row>
    <row r="8" ht="27.75" customHeight="1">
      <c r="B8" s="14">
        <f>'MONTHLY REVIEW'!E8</f>
        <v>64000</v>
      </c>
      <c r="C8" s="11"/>
      <c r="D8" s="10"/>
      <c r="E8" s="15">
        <f>'MONTHLY REVIEW'!E9</f>
        <v>0.03225806452</v>
      </c>
      <c r="F8" s="11"/>
      <c r="G8" s="10"/>
      <c r="H8" s="15">
        <f>'MONTHLY REVIEW'!E16</f>
        <v>0.4285714286</v>
      </c>
      <c r="I8" s="11"/>
      <c r="J8" s="10"/>
      <c r="K8" s="15">
        <f>'MONTHLY REVIEW'!E21</f>
        <v>0.25</v>
      </c>
      <c r="L8" s="11"/>
      <c r="M8" s="10"/>
      <c r="N8" s="15">
        <f>'MONTHLY REVIEW'!E18</f>
        <v>0.65</v>
      </c>
      <c r="O8" s="11"/>
      <c r="P8" s="10"/>
      <c r="Q8" s="15">
        <f>'MONTHLY REVIEW'!E42</f>
        <v>0.05</v>
      </c>
      <c r="R8" s="11"/>
      <c r="S8" s="10"/>
      <c r="T8" s="15">
        <f>'MONTHLY REVIEW'!E29</f>
        <v>0.86</v>
      </c>
      <c r="U8" s="11"/>
      <c r="V8" s="10"/>
      <c r="W8" s="15">
        <f>'MONTHLY REVIEW'!E31</f>
        <v>0.34</v>
      </c>
      <c r="X8" s="11"/>
      <c r="Y8" s="10"/>
    </row>
    <row r="9" ht="21.75" customHeight="1">
      <c r="B9" s="16" t="s">
        <v>5</v>
      </c>
      <c r="C9" s="11"/>
      <c r="D9" s="10"/>
      <c r="E9" s="16" t="s">
        <v>6</v>
      </c>
      <c r="F9" s="11"/>
      <c r="G9" s="10"/>
      <c r="H9" s="16" t="s">
        <v>7</v>
      </c>
      <c r="I9" s="11"/>
      <c r="J9" s="10"/>
      <c r="K9" s="17" t="s">
        <v>8</v>
      </c>
      <c r="L9" s="11"/>
      <c r="M9" s="10"/>
      <c r="N9" s="16" t="s">
        <v>9</v>
      </c>
      <c r="O9" s="11"/>
      <c r="P9" s="10"/>
      <c r="Q9" s="16" t="s">
        <v>10</v>
      </c>
      <c r="R9" s="11"/>
      <c r="S9" s="10"/>
      <c r="T9" s="16" t="s">
        <v>11</v>
      </c>
      <c r="U9" s="11"/>
      <c r="V9" s="10"/>
      <c r="W9" s="16" t="s">
        <v>12</v>
      </c>
      <c r="X9" s="11"/>
      <c r="Y9" s="10"/>
    </row>
    <row r="10" ht="18.0" customHeight="1">
      <c r="B10" s="18" t="str">
        <f>"Grade: "&amp;'MONTHLY REVIEW'!F8</f>
        <v>Grade: -</v>
      </c>
      <c r="C10" s="11"/>
      <c r="D10" s="10"/>
      <c r="E10" s="18" t="str">
        <f>"Grade: "&amp;'MONTHLY REVIEW'!F9</f>
        <v>Grade: A</v>
      </c>
      <c r="F10" s="11"/>
      <c r="G10" s="10"/>
      <c r="H10" s="18" t="str">
        <f>"Grade: "&amp;'MONTHLY REVIEW'!F16</f>
        <v>Grade: C</v>
      </c>
      <c r="I10" s="11"/>
      <c r="J10" s="10"/>
      <c r="K10" s="18" t="str">
        <f>"Grade: "&amp;'MONTHLY REVIEW'!F21</f>
        <v>Grade: A</v>
      </c>
      <c r="L10" s="11"/>
      <c r="M10" s="10"/>
      <c r="N10" s="18" t="str">
        <f>"Grade: "&amp;'MONTHLY REVIEW'!F18</f>
        <v>Grade: B</v>
      </c>
      <c r="O10" s="11"/>
      <c r="P10" s="10"/>
      <c r="Q10" s="18" t="str">
        <f>"Grade: "&amp;'MONTHLY REVIEW'!F42</f>
        <v>Grade: C</v>
      </c>
      <c r="R10" s="11"/>
      <c r="S10" s="10"/>
      <c r="T10" s="18" t="str">
        <f>"Grade: "&amp;'MONTHLY REVIEW'!F29</f>
        <v>Grade: A</v>
      </c>
      <c r="U10" s="11"/>
      <c r="V10" s="10"/>
      <c r="W10" s="18" t="str">
        <f>"Grade: "&amp;'MONTHLY REVIEW'!F31</f>
        <v>Grade: A</v>
      </c>
      <c r="X10" s="11"/>
      <c r="Y10" s="10"/>
    </row>
    <row r="13" ht="19.5" customHeight="1">
      <c r="B13" s="19" t="s">
        <v>13</v>
      </c>
      <c r="C13" s="11"/>
      <c r="D13" s="11"/>
      <c r="E13" s="11"/>
      <c r="F13" s="10"/>
      <c r="H13" s="19" t="s">
        <v>14</v>
      </c>
      <c r="I13" s="11"/>
      <c r="J13" s="11"/>
      <c r="K13" s="10"/>
      <c r="M13" s="19" t="s">
        <v>15</v>
      </c>
      <c r="N13" s="11"/>
      <c r="O13" s="11"/>
      <c r="P13" s="11"/>
      <c r="Q13" s="10"/>
    </row>
    <row r="14" ht="18.0" customHeight="1">
      <c r="B14" s="20" t="s">
        <v>16</v>
      </c>
      <c r="D14" s="20" t="s">
        <v>17</v>
      </c>
      <c r="E14" s="20" t="s">
        <v>18</v>
      </c>
      <c r="H14" s="21" t="s">
        <v>19</v>
      </c>
      <c r="I14" s="22">
        <f>'MONTHLY REVIEW'!E12</f>
        <v>0.7</v>
      </c>
      <c r="M14" s="23" t="s">
        <v>16</v>
      </c>
      <c r="N14" s="23" t="s">
        <v>20</v>
      </c>
      <c r="O14" s="23" t="s">
        <v>21</v>
      </c>
    </row>
    <row r="15" ht="18.0" customHeight="1">
      <c r="B15" s="24" t="s">
        <v>7</v>
      </c>
      <c r="C15" s="10"/>
      <c r="D15" s="25">
        <f>'MONTHLY REVIEW'!E16</f>
        <v>0.4285714286</v>
      </c>
      <c r="E15" s="26" t="str">
        <f>'MONTHLY REVIEW'!F16</f>
        <v>C</v>
      </c>
      <c r="H15" s="21" t="s">
        <v>22</v>
      </c>
      <c r="I15" s="22">
        <f>'MONTHLY REVIEW'!E13</f>
        <v>0.3</v>
      </c>
      <c r="M15" s="21" t="s">
        <v>7</v>
      </c>
      <c r="N15" s="22">
        <f>'MONTHLY REVIEW'!E16</f>
        <v>0.4285714286</v>
      </c>
      <c r="O15" s="22">
        <f>'MONTHLY REVIEW'!G16</f>
        <v>0.32</v>
      </c>
    </row>
    <row r="16" ht="18.0" customHeight="1">
      <c r="B16" s="24" t="s">
        <v>23</v>
      </c>
      <c r="C16" s="10"/>
      <c r="D16" s="25">
        <f>'MONTHLY REVIEW'!E17</f>
        <v>0.3333333333</v>
      </c>
      <c r="E16" s="26" t="str">
        <f>'MONTHLY REVIEW'!F17</f>
        <v>C</v>
      </c>
      <c r="M16" s="21" t="s">
        <v>23</v>
      </c>
      <c r="N16" s="22">
        <f>'MONTHLY REVIEW'!E17</f>
        <v>0.3333333333</v>
      </c>
      <c r="O16" s="22">
        <f>'MONTHLY REVIEW'!G17</f>
        <v>0.27</v>
      </c>
    </row>
    <row r="17" ht="18.0" customHeight="1">
      <c r="B17" s="24" t="s">
        <v>9</v>
      </c>
      <c r="C17" s="10"/>
      <c r="D17" s="25">
        <f>'MONTHLY REVIEW'!E18</f>
        <v>0.65</v>
      </c>
      <c r="E17" s="26" t="str">
        <f>'MONTHLY REVIEW'!F18</f>
        <v>B</v>
      </c>
      <c r="M17" s="27" t="s">
        <v>8</v>
      </c>
      <c r="N17" s="22">
        <f>'MONTHLY REVIEW'!E21</f>
        <v>0.25</v>
      </c>
      <c r="O17" s="22">
        <f>'MONTHLY REVIEW'!G21</f>
        <v>0.27</v>
      </c>
    </row>
    <row r="18" ht="18.0" customHeight="1">
      <c r="B18" s="28" t="s">
        <v>8</v>
      </c>
      <c r="C18" s="10"/>
      <c r="D18" s="25">
        <f>'MONTHLY REVIEW'!E21</f>
        <v>0.25</v>
      </c>
      <c r="E18" s="26" t="str">
        <f>'MONTHLY REVIEW'!F21</f>
        <v>A</v>
      </c>
      <c r="M18" s="21" t="s">
        <v>9</v>
      </c>
      <c r="N18" s="22">
        <f>'MONTHLY REVIEW'!E18</f>
        <v>0.65</v>
      </c>
      <c r="O18" s="22">
        <f>'MONTHLY REVIEW'!G18</f>
        <v>0.6</v>
      </c>
    </row>
    <row r="19" ht="18.0" customHeight="1">
      <c r="B19" s="24" t="s">
        <v>10</v>
      </c>
      <c r="C19" s="10"/>
      <c r="D19" s="25">
        <f>'MONTHLY REVIEW'!E42</f>
        <v>0.05</v>
      </c>
      <c r="E19" s="26" t="str">
        <f>'MONTHLY REVIEW'!F42</f>
        <v>C</v>
      </c>
    </row>
    <row r="20">
      <c r="B20" s="24" t="s">
        <v>24</v>
      </c>
      <c r="C20" s="10"/>
      <c r="D20" s="29">
        <f>'MONTHLY REVIEW'!E25</f>
        <v>1.523809524</v>
      </c>
      <c r="E20" s="26" t="str">
        <f>'MONTHLY REVIEW'!F25</f>
        <v>F</v>
      </c>
    </row>
    <row r="21" ht="18.0" customHeight="1">
      <c r="B21" s="24" t="s">
        <v>11</v>
      </c>
      <c r="C21" s="10"/>
      <c r="D21" s="25">
        <f>'MONTHLY REVIEW'!E29</f>
        <v>0.86</v>
      </c>
      <c r="E21" s="26" t="str">
        <f>'MONTHLY REVIEW'!F29</f>
        <v>A</v>
      </c>
    </row>
    <row r="22" ht="18.0" customHeight="1">
      <c r="B22" s="24" t="s">
        <v>12</v>
      </c>
      <c r="C22" s="10"/>
      <c r="D22" s="25">
        <f>'MONTHLY REVIEW'!E31</f>
        <v>0.34</v>
      </c>
      <c r="E22" s="26" t="str">
        <f>'MONTHLY REVIEW'!F31</f>
        <v>A</v>
      </c>
    </row>
    <row r="23" ht="18.0" customHeight="1">
      <c r="B23" s="24" t="s">
        <v>25</v>
      </c>
      <c r="C23" s="10"/>
      <c r="D23" s="25">
        <f>'MONTHLY REVIEW'!E34</f>
        <v>0.18</v>
      </c>
      <c r="E23" s="26" t="str">
        <f>'MONTHLY REVIEW'!F34</f>
        <v>B</v>
      </c>
    </row>
    <row r="24" ht="18.0" customHeight="1">
      <c r="B24" s="24" t="s">
        <v>26</v>
      </c>
      <c r="C24" s="10"/>
      <c r="D24" s="25">
        <f>'MONTHLY REVIEW'!E35</f>
        <v>0.2400173611</v>
      </c>
      <c r="E24" s="26" t="str">
        <f>'MONTHLY REVIEW'!F35</f>
        <v>A</v>
      </c>
    </row>
    <row r="25" ht="18.0" customHeight="1">
      <c r="B25" s="24" t="s">
        <v>27</v>
      </c>
      <c r="C25" s="10"/>
      <c r="D25" s="25">
        <f>'MONTHLY REVIEW'!E38</f>
        <v>1.4</v>
      </c>
      <c r="E25" s="26" t="str">
        <f>'MONTHLY REVIEW'!F38</f>
        <v>B</v>
      </c>
    </row>
    <row r="26" ht="18.0" customHeight="1">
      <c r="B26" s="24" t="s">
        <v>28</v>
      </c>
      <c r="C26" s="10"/>
      <c r="D26" s="25">
        <f>'MONTHLY REVIEW'!E24</f>
        <v>2.608695652</v>
      </c>
      <c r="E26" s="26" t="str">
        <f>'MONTHLY REVIEW'!F24</f>
        <v>F</v>
      </c>
    </row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47">
    <mergeCell ref="B1:D2"/>
    <mergeCell ref="E1:S2"/>
    <mergeCell ref="T1:Z2"/>
    <mergeCell ref="D4:E4"/>
    <mergeCell ref="H4:J4"/>
    <mergeCell ref="B5:S5"/>
    <mergeCell ref="T7:Z7"/>
    <mergeCell ref="T8:V8"/>
    <mergeCell ref="W8:Y8"/>
    <mergeCell ref="B7:S7"/>
    <mergeCell ref="B8:D8"/>
    <mergeCell ref="E8:G8"/>
    <mergeCell ref="H8:J8"/>
    <mergeCell ref="K8:M8"/>
    <mergeCell ref="N8:P8"/>
    <mergeCell ref="Q8:S8"/>
    <mergeCell ref="E9:G9"/>
    <mergeCell ref="H9:J9"/>
    <mergeCell ref="K9:M9"/>
    <mergeCell ref="N9:P9"/>
    <mergeCell ref="Q9:S9"/>
    <mergeCell ref="T9:V9"/>
    <mergeCell ref="W9:Y9"/>
    <mergeCell ref="T10:V10"/>
    <mergeCell ref="W10:Y10"/>
    <mergeCell ref="B9:D9"/>
    <mergeCell ref="B10:D10"/>
    <mergeCell ref="E10:G10"/>
    <mergeCell ref="H10:J10"/>
    <mergeCell ref="K10:M10"/>
    <mergeCell ref="N10:P10"/>
    <mergeCell ref="Q10:S10"/>
    <mergeCell ref="B19:C19"/>
    <mergeCell ref="B20:C20"/>
    <mergeCell ref="B21:C21"/>
    <mergeCell ref="B22:C22"/>
    <mergeCell ref="B23:C23"/>
    <mergeCell ref="B24:C24"/>
    <mergeCell ref="B25:C25"/>
    <mergeCell ref="B26:C26"/>
    <mergeCell ref="B13:F13"/>
    <mergeCell ref="H13:K13"/>
    <mergeCell ref="M13:Q13"/>
    <mergeCell ref="B15:C15"/>
    <mergeCell ref="B16:C16"/>
    <mergeCell ref="B17:C17"/>
    <mergeCell ref="B18:C18"/>
  </mergeCells>
  <conditionalFormatting sqref="B10:S10">
    <cfRule type="expression" dxfId="0" priority="1">
      <formula>ISNUMBER(SEARCH("Grade: A",B10))</formula>
    </cfRule>
  </conditionalFormatting>
  <conditionalFormatting sqref="B10:S10">
    <cfRule type="expression" dxfId="0" priority="2">
      <formula>ISNUMBER(SEARCH("Grade: B",B10))</formula>
    </cfRule>
  </conditionalFormatting>
  <conditionalFormatting sqref="B10:S10">
    <cfRule type="expression" dxfId="1" priority="3">
      <formula>ISNUMBER(SEARCH("Grade: C",B10))</formula>
    </cfRule>
  </conditionalFormatting>
  <conditionalFormatting sqref="B10:S10">
    <cfRule type="expression" dxfId="1" priority="4">
      <formula>ISNUMBER(SEARCH("Grade: D",B10))</formula>
    </cfRule>
  </conditionalFormatting>
  <conditionalFormatting sqref="B10:S10">
    <cfRule type="expression" dxfId="2" priority="5">
      <formula>ISNUMBER(SEARCH("Grade: F",B10))</formula>
    </cfRule>
  </conditionalFormatting>
  <conditionalFormatting sqref="E15:E26">
    <cfRule type="cellIs" dxfId="0" priority="6" operator="equal">
      <formula>"A"</formula>
    </cfRule>
  </conditionalFormatting>
  <conditionalFormatting sqref="E15:E26">
    <cfRule type="cellIs" dxfId="0" priority="7" operator="equal">
      <formula>"B"</formula>
    </cfRule>
  </conditionalFormatting>
  <conditionalFormatting sqref="E15:E26">
    <cfRule type="cellIs" dxfId="1" priority="8" operator="equal">
      <formula>"C"</formula>
    </cfRule>
  </conditionalFormatting>
  <conditionalFormatting sqref="E15:E26">
    <cfRule type="cellIs" dxfId="1" priority="9" operator="equal">
      <formula>"D"</formula>
    </cfRule>
  </conditionalFormatting>
  <conditionalFormatting sqref="E15:E26">
    <cfRule type="cellIs" dxfId="2" priority="10" operator="equal">
      <formula>"F"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4.0"/>
    <col customWidth="1" min="3" max="3" width="19.14"/>
    <col customWidth="1" min="4" max="4" width="30.0"/>
    <col customWidth="1" min="5" max="5" width="16.0"/>
    <col customWidth="1" min="6" max="6" width="14.0"/>
    <col customWidth="1" min="7" max="7" width="42.0"/>
    <col customWidth="1" min="8" max="26" width="8.71"/>
  </cols>
  <sheetData>
    <row r="1" ht="24.0" customHeight="1">
      <c r="B1" s="4" t="s">
        <v>29</v>
      </c>
      <c r="C1" s="2"/>
      <c r="D1" s="2"/>
      <c r="E1" s="2"/>
      <c r="F1" s="2"/>
      <c r="G1" s="2"/>
      <c r="H1" s="2"/>
      <c r="I1" s="2"/>
      <c r="J1" s="2"/>
      <c r="K1" s="3"/>
    </row>
    <row r="2" ht="19.5" customHeight="1">
      <c r="B2" s="5"/>
      <c r="C2" s="6"/>
      <c r="D2" s="6"/>
      <c r="E2" s="6"/>
      <c r="F2" s="6"/>
      <c r="G2" s="6"/>
      <c r="H2" s="6"/>
      <c r="I2" s="6"/>
      <c r="J2" s="6"/>
      <c r="K2" s="7"/>
    </row>
    <row r="3" ht="18.0" customHeight="1">
      <c r="B3" s="12" t="s">
        <v>30</v>
      </c>
      <c r="C3" s="11"/>
      <c r="D3" s="11"/>
      <c r="E3" s="11"/>
      <c r="F3" s="11"/>
      <c r="G3" s="11"/>
      <c r="H3" s="11"/>
      <c r="I3" s="11"/>
      <c r="J3" s="11"/>
      <c r="K3" s="10"/>
    </row>
    <row r="5" ht="21.75" customHeight="1">
      <c r="B5" s="30" t="s">
        <v>31</v>
      </c>
      <c r="C5" s="30" t="s">
        <v>32</v>
      </c>
      <c r="D5" s="30" t="s">
        <v>16</v>
      </c>
      <c r="E5" s="30" t="s">
        <v>33</v>
      </c>
      <c r="F5" s="30" t="s">
        <v>34</v>
      </c>
      <c r="G5" s="30" t="s">
        <v>35</v>
      </c>
    </row>
    <row r="6" ht="24.0" customHeight="1">
      <c r="B6" s="31">
        <v>1.0</v>
      </c>
      <c r="C6" s="32" t="s">
        <v>36</v>
      </c>
      <c r="D6" s="33" t="s">
        <v>5</v>
      </c>
      <c r="E6" s="34" t="s">
        <v>37</v>
      </c>
      <c r="F6" s="35"/>
      <c r="G6" s="36" t="s">
        <v>38</v>
      </c>
    </row>
    <row r="7" ht="24.0" customHeight="1">
      <c r="B7" s="31">
        <v>2.0</v>
      </c>
      <c r="C7" s="32" t="s">
        <v>36</v>
      </c>
      <c r="D7" s="33" t="s">
        <v>6</v>
      </c>
      <c r="E7" s="34" t="s">
        <v>39</v>
      </c>
      <c r="F7" s="37">
        <v>0.03</v>
      </c>
      <c r="G7" s="36" t="s">
        <v>40</v>
      </c>
    </row>
    <row r="8" ht="24.0" customHeight="1">
      <c r="B8" s="31">
        <v>3.0</v>
      </c>
      <c r="C8" s="32" t="s">
        <v>36</v>
      </c>
      <c r="D8" s="33" t="s">
        <v>41</v>
      </c>
      <c r="E8" s="34" t="s">
        <v>39</v>
      </c>
      <c r="F8" s="38">
        <v>12.0</v>
      </c>
      <c r="G8" s="36" t="s">
        <v>42</v>
      </c>
    </row>
    <row r="9" ht="24.0" customHeight="1">
      <c r="B9" s="31">
        <v>4.0</v>
      </c>
      <c r="C9" s="32" t="s">
        <v>36</v>
      </c>
      <c r="D9" s="33" t="s">
        <v>43</v>
      </c>
      <c r="E9" s="34" t="s">
        <v>39</v>
      </c>
      <c r="F9" s="38">
        <v>18.0</v>
      </c>
      <c r="G9" s="36" t="s">
        <v>44</v>
      </c>
    </row>
    <row r="10" ht="24.0" customHeight="1">
      <c r="B10" s="31">
        <v>5.0</v>
      </c>
      <c r="C10" s="32" t="s">
        <v>45</v>
      </c>
      <c r="D10" s="33" t="s">
        <v>46</v>
      </c>
      <c r="E10" s="34" t="s">
        <v>39</v>
      </c>
      <c r="F10" s="37">
        <v>0.7</v>
      </c>
      <c r="G10" s="36" t="s">
        <v>47</v>
      </c>
    </row>
    <row r="11" ht="24.0" customHeight="1">
      <c r="B11" s="31">
        <v>6.0</v>
      </c>
      <c r="C11" s="32" t="s">
        <v>45</v>
      </c>
      <c r="D11" s="33" t="s">
        <v>48</v>
      </c>
      <c r="E11" s="34" t="s">
        <v>39</v>
      </c>
      <c r="F11" s="37">
        <v>0.3</v>
      </c>
      <c r="G11" s="36" t="s">
        <v>49</v>
      </c>
    </row>
    <row r="12" ht="24.0" customHeight="1">
      <c r="B12" s="31">
        <v>7.0</v>
      </c>
      <c r="C12" s="32" t="s">
        <v>45</v>
      </c>
      <c r="D12" s="33" t="s">
        <v>50</v>
      </c>
      <c r="E12" s="34" t="s">
        <v>39</v>
      </c>
      <c r="F12" s="37">
        <v>0.6</v>
      </c>
      <c r="G12" s="36" t="s">
        <v>51</v>
      </c>
    </row>
    <row r="13" ht="24.0" customHeight="1">
      <c r="B13" s="31">
        <v>8.0</v>
      </c>
      <c r="C13" s="32" t="s">
        <v>45</v>
      </c>
      <c r="D13" s="33" t="s">
        <v>52</v>
      </c>
      <c r="E13" s="34" t="s">
        <v>39</v>
      </c>
      <c r="F13" s="37">
        <v>0.4</v>
      </c>
      <c r="G13" s="36" t="s">
        <v>53</v>
      </c>
    </row>
    <row r="14" ht="24.0" customHeight="1">
      <c r="B14" s="31">
        <v>9.0</v>
      </c>
      <c r="C14" s="32" t="s">
        <v>54</v>
      </c>
      <c r="D14" s="33" t="s">
        <v>7</v>
      </c>
      <c r="E14" s="34" t="s">
        <v>55</v>
      </c>
      <c r="F14" s="37">
        <v>0.32</v>
      </c>
      <c r="G14" s="36" t="s">
        <v>56</v>
      </c>
    </row>
    <row r="15" ht="24.0" customHeight="1">
      <c r="B15" s="31">
        <v>10.0</v>
      </c>
      <c r="C15" s="32" t="s">
        <v>54</v>
      </c>
      <c r="D15" s="33" t="s">
        <v>23</v>
      </c>
      <c r="E15" s="34" t="s">
        <v>55</v>
      </c>
      <c r="F15" s="37">
        <v>0.27</v>
      </c>
      <c r="G15" s="36" t="s">
        <v>57</v>
      </c>
    </row>
    <row r="16" ht="24.0" customHeight="1">
      <c r="B16" s="31">
        <v>11.0</v>
      </c>
      <c r="C16" s="32" t="s">
        <v>54</v>
      </c>
      <c r="D16" s="33" t="s">
        <v>9</v>
      </c>
      <c r="E16" s="34" t="s">
        <v>55</v>
      </c>
      <c r="F16" s="37">
        <v>0.6</v>
      </c>
      <c r="G16" s="36" t="s">
        <v>58</v>
      </c>
    </row>
    <row r="17" ht="24.0" customHeight="1">
      <c r="B17" s="31">
        <v>12.0</v>
      </c>
      <c r="C17" s="32" t="s">
        <v>54</v>
      </c>
      <c r="D17" s="33" t="s">
        <v>59</v>
      </c>
      <c r="E17" s="34" t="s">
        <v>39</v>
      </c>
      <c r="F17" s="37">
        <v>0.7</v>
      </c>
      <c r="G17" s="36" t="s">
        <v>60</v>
      </c>
    </row>
    <row r="18" ht="24.0" customHeight="1">
      <c r="B18" s="31">
        <v>13.0</v>
      </c>
      <c r="C18" s="32" t="s">
        <v>54</v>
      </c>
      <c r="D18" s="33" t="s">
        <v>61</v>
      </c>
      <c r="E18" s="34" t="s">
        <v>55</v>
      </c>
      <c r="F18" s="37">
        <v>0.02</v>
      </c>
      <c r="G18" s="36" t="s">
        <v>62</v>
      </c>
    </row>
    <row r="19" ht="24.0" customHeight="1">
      <c r="B19" s="31">
        <v>14.0</v>
      </c>
      <c r="C19" s="32" t="s">
        <v>63</v>
      </c>
      <c r="D19" s="33" t="s">
        <v>64</v>
      </c>
      <c r="E19" s="34" t="s">
        <v>55</v>
      </c>
      <c r="F19" s="37">
        <v>0.27</v>
      </c>
      <c r="G19" s="36" t="s">
        <v>65</v>
      </c>
    </row>
    <row r="20" ht="24.0" customHeight="1">
      <c r="B20" s="31">
        <v>15.0</v>
      </c>
      <c r="C20" s="32" t="s">
        <v>63</v>
      </c>
      <c r="D20" s="33" t="s">
        <v>66</v>
      </c>
      <c r="E20" s="34" t="s">
        <v>39</v>
      </c>
      <c r="F20" s="38">
        <v>65.0</v>
      </c>
      <c r="G20" s="36" t="s">
        <v>67</v>
      </c>
    </row>
    <row r="21" ht="24.0" customHeight="1">
      <c r="B21" s="31">
        <v>16.0</v>
      </c>
      <c r="C21" s="32" t="s">
        <v>63</v>
      </c>
      <c r="D21" s="33" t="s">
        <v>68</v>
      </c>
      <c r="E21" s="34" t="s">
        <v>39</v>
      </c>
      <c r="F21" s="39">
        <v>4500.0</v>
      </c>
      <c r="G21" s="36" t="s">
        <v>69</v>
      </c>
    </row>
    <row r="22" ht="24.0" customHeight="1">
      <c r="B22" s="31">
        <v>17.0</v>
      </c>
      <c r="C22" s="32" t="s">
        <v>63</v>
      </c>
      <c r="D22" s="33" t="s">
        <v>28</v>
      </c>
      <c r="E22" s="34" t="s">
        <v>55</v>
      </c>
      <c r="F22" s="37">
        <v>0.75</v>
      </c>
      <c r="G22" s="36" t="s">
        <v>70</v>
      </c>
    </row>
    <row r="23" ht="24.0" customHeight="1">
      <c r="B23" s="31">
        <v>18.0</v>
      </c>
      <c r="C23" s="32" t="s">
        <v>71</v>
      </c>
      <c r="D23" s="33" t="s">
        <v>24</v>
      </c>
      <c r="E23" s="34" t="s">
        <v>39</v>
      </c>
      <c r="F23" s="40">
        <v>10.0</v>
      </c>
      <c r="G23" s="36" t="s">
        <v>72</v>
      </c>
    </row>
    <row r="24" ht="24.0" customHeight="1">
      <c r="B24" s="31">
        <v>19.0</v>
      </c>
      <c r="C24" s="32" t="s">
        <v>71</v>
      </c>
      <c r="D24" s="33" t="s">
        <v>73</v>
      </c>
      <c r="E24" s="34" t="s">
        <v>55</v>
      </c>
      <c r="F24" s="40">
        <v>5.0</v>
      </c>
      <c r="G24" s="36" t="s">
        <v>74</v>
      </c>
    </row>
    <row r="25" ht="24.0" customHeight="1">
      <c r="B25" s="31">
        <v>20.0</v>
      </c>
      <c r="C25" s="32" t="s">
        <v>71</v>
      </c>
      <c r="D25" s="33" t="s">
        <v>75</v>
      </c>
      <c r="E25" s="34" t="s">
        <v>55</v>
      </c>
      <c r="F25" s="39">
        <v>0.0</v>
      </c>
      <c r="G25" s="36" t="s">
        <v>76</v>
      </c>
    </row>
    <row r="26" ht="24.0" customHeight="1">
      <c r="B26" s="31">
        <v>21.0</v>
      </c>
      <c r="C26" s="32" t="s">
        <v>71</v>
      </c>
      <c r="D26" s="33" t="s">
        <v>77</v>
      </c>
      <c r="E26" s="34" t="s">
        <v>55</v>
      </c>
      <c r="F26" s="37">
        <v>0.025</v>
      </c>
      <c r="G26" s="36" t="s">
        <v>78</v>
      </c>
    </row>
    <row r="27" ht="24.0" customHeight="1">
      <c r="B27" s="31">
        <v>22.0</v>
      </c>
      <c r="C27" s="32" t="s">
        <v>79</v>
      </c>
      <c r="D27" s="33" t="s">
        <v>11</v>
      </c>
      <c r="E27" s="34" t="s">
        <v>39</v>
      </c>
      <c r="F27" s="37">
        <v>0.85</v>
      </c>
      <c r="G27" s="36" t="s">
        <v>80</v>
      </c>
    </row>
    <row r="28" ht="24.0" customHeight="1">
      <c r="B28" s="31">
        <v>23.0</v>
      </c>
      <c r="C28" s="32" t="s">
        <v>79</v>
      </c>
      <c r="D28" s="33" t="s">
        <v>81</v>
      </c>
      <c r="E28" s="34" t="s">
        <v>39</v>
      </c>
      <c r="F28" s="41">
        <v>40.0</v>
      </c>
      <c r="G28" s="36" t="s">
        <v>82</v>
      </c>
    </row>
    <row r="29" ht="24.0" customHeight="1">
      <c r="B29" s="31">
        <v>24.0</v>
      </c>
      <c r="C29" s="32" t="s">
        <v>79</v>
      </c>
      <c r="D29" s="33" t="s">
        <v>12</v>
      </c>
      <c r="E29" s="34" t="s">
        <v>39</v>
      </c>
      <c r="F29" s="37">
        <v>0.35</v>
      </c>
      <c r="G29" s="36" t="s">
        <v>83</v>
      </c>
    </row>
    <row r="30" ht="24.0" customHeight="1">
      <c r="B30" s="31">
        <v>25.0</v>
      </c>
      <c r="C30" s="32" t="s">
        <v>79</v>
      </c>
      <c r="D30" s="33" t="s">
        <v>84</v>
      </c>
      <c r="E30" s="34" t="s">
        <v>39</v>
      </c>
      <c r="F30" s="40">
        <v>4.3</v>
      </c>
      <c r="G30" s="36" t="s">
        <v>85</v>
      </c>
    </row>
    <row r="31" ht="24.0" customHeight="1">
      <c r="B31" s="31">
        <v>26.0</v>
      </c>
      <c r="C31" s="32" t="s">
        <v>79</v>
      </c>
      <c r="D31" s="33" t="s">
        <v>86</v>
      </c>
      <c r="E31" s="34" t="s">
        <v>55</v>
      </c>
      <c r="F31" s="41">
        <v>5.0</v>
      </c>
      <c r="G31" s="36" t="s">
        <v>87</v>
      </c>
    </row>
    <row r="32" ht="24.0" customHeight="1">
      <c r="B32" s="31">
        <v>27.0</v>
      </c>
      <c r="C32" s="32" t="s">
        <v>88</v>
      </c>
      <c r="D32" s="33" t="s">
        <v>25</v>
      </c>
      <c r="E32" s="34" t="s">
        <v>39</v>
      </c>
      <c r="F32" s="37">
        <v>0.2</v>
      </c>
      <c r="G32" s="36" t="s">
        <v>89</v>
      </c>
    </row>
    <row r="33" ht="24.0" customHeight="1">
      <c r="B33" s="31">
        <v>28.0</v>
      </c>
      <c r="C33" s="32" t="s">
        <v>88</v>
      </c>
      <c r="D33" s="33" t="s">
        <v>26</v>
      </c>
      <c r="E33" s="34" t="s">
        <v>55</v>
      </c>
      <c r="F33" s="37">
        <v>0.25</v>
      </c>
      <c r="G33" s="36" t="s">
        <v>90</v>
      </c>
    </row>
    <row r="34" ht="24.0" customHeight="1">
      <c r="B34" s="31">
        <v>29.0</v>
      </c>
      <c r="C34" s="32" t="s">
        <v>88</v>
      </c>
      <c r="D34" s="33" t="s">
        <v>91</v>
      </c>
      <c r="E34" s="34" t="s">
        <v>55</v>
      </c>
      <c r="F34" s="40">
        <v>32.0</v>
      </c>
      <c r="G34" s="36" t="s">
        <v>92</v>
      </c>
    </row>
    <row r="35" ht="24.0" customHeight="1">
      <c r="B35" s="31">
        <v>30.0</v>
      </c>
      <c r="C35" s="32" t="s">
        <v>88</v>
      </c>
      <c r="D35" s="33" t="s">
        <v>93</v>
      </c>
      <c r="E35" s="34" t="s">
        <v>39</v>
      </c>
      <c r="F35" s="37">
        <v>0.9</v>
      </c>
      <c r="G35" s="36" t="s">
        <v>94</v>
      </c>
    </row>
    <row r="36" ht="24.0" customHeight="1">
      <c r="B36" s="31">
        <v>31.0</v>
      </c>
      <c r="C36" s="32" t="s">
        <v>95</v>
      </c>
      <c r="D36" s="33" t="s">
        <v>27</v>
      </c>
      <c r="E36" s="34" t="s">
        <v>39</v>
      </c>
      <c r="F36" s="37">
        <v>1.5</v>
      </c>
      <c r="G36" s="36" t="s">
        <v>96</v>
      </c>
    </row>
    <row r="37" ht="24.0" customHeight="1">
      <c r="B37" s="31">
        <v>32.0</v>
      </c>
      <c r="C37" s="32" t="s">
        <v>95</v>
      </c>
      <c r="D37" s="33" t="s">
        <v>97</v>
      </c>
      <c r="E37" s="34" t="s">
        <v>39</v>
      </c>
      <c r="F37" s="37">
        <v>0.32</v>
      </c>
      <c r="G37" s="36" t="s">
        <v>98</v>
      </c>
    </row>
    <row r="38" ht="24.0" customHeight="1">
      <c r="B38" s="31">
        <v>33.0</v>
      </c>
      <c r="C38" s="32" t="s">
        <v>95</v>
      </c>
      <c r="D38" s="33" t="s">
        <v>99</v>
      </c>
      <c r="E38" s="34" t="s">
        <v>39</v>
      </c>
      <c r="F38" s="37">
        <v>0.015</v>
      </c>
      <c r="G38" s="36" t="s">
        <v>100</v>
      </c>
    </row>
    <row r="39" ht="24.0" customHeight="1">
      <c r="B39" s="31">
        <v>34.0</v>
      </c>
      <c r="C39" s="32" t="s">
        <v>95</v>
      </c>
      <c r="D39" s="33" t="s">
        <v>101</v>
      </c>
      <c r="E39" s="34" t="s">
        <v>39</v>
      </c>
      <c r="F39" s="37">
        <v>0.03</v>
      </c>
      <c r="G39" s="36" t="s">
        <v>102</v>
      </c>
    </row>
    <row r="40" ht="24.0" customHeight="1">
      <c r="B40" s="31">
        <v>35.0</v>
      </c>
      <c r="C40" s="32" t="s">
        <v>103</v>
      </c>
      <c r="D40" s="33" t="s">
        <v>10</v>
      </c>
      <c r="E40" s="34" t="s">
        <v>39</v>
      </c>
      <c r="F40" s="37">
        <v>0.06</v>
      </c>
      <c r="G40" s="36" t="s">
        <v>104</v>
      </c>
    </row>
    <row r="41" ht="24.0" customHeight="1">
      <c r="B41" s="31">
        <v>36.0</v>
      </c>
      <c r="C41" s="32" t="s">
        <v>103</v>
      </c>
      <c r="D41" s="33" t="s">
        <v>105</v>
      </c>
      <c r="E41" s="34" t="s">
        <v>39</v>
      </c>
      <c r="F41" s="39">
        <v>200.0</v>
      </c>
      <c r="G41" s="36" t="s">
        <v>106</v>
      </c>
    </row>
    <row r="42" ht="24.0" customHeight="1">
      <c r="B42" s="31">
        <v>37.0</v>
      </c>
      <c r="C42" s="32" t="s">
        <v>103</v>
      </c>
      <c r="D42" s="33" t="s">
        <v>107</v>
      </c>
      <c r="E42" s="34" t="s">
        <v>39</v>
      </c>
      <c r="F42" s="40">
        <v>1.8</v>
      </c>
      <c r="G42" s="36" t="s">
        <v>108</v>
      </c>
    </row>
    <row r="43" ht="24.0" customHeight="1">
      <c r="B43" s="31">
        <v>38.0</v>
      </c>
      <c r="C43" s="32" t="s">
        <v>103</v>
      </c>
      <c r="D43" s="33" t="s">
        <v>109</v>
      </c>
      <c r="E43" s="34" t="s">
        <v>55</v>
      </c>
      <c r="F43" s="39">
        <v>40000.0</v>
      </c>
      <c r="G43" s="36" t="s">
        <v>110</v>
      </c>
    </row>
    <row r="44" ht="15.75" customHeight="1"/>
    <row r="45" ht="19.5" customHeight="1">
      <c r="B45" s="19" t="s">
        <v>111</v>
      </c>
      <c r="C45" s="11"/>
      <c r="D45" s="11"/>
      <c r="E45" s="11"/>
      <c r="F45" s="11"/>
      <c r="G45" s="10"/>
    </row>
    <row r="46" ht="19.5" customHeight="1">
      <c r="B46" s="42" t="s">
        <v>112</v>
      </c>
      <c r="C46" s="43" t="s">
        <v>113</v>
      </c>
    </row>
    <row r="47" ht="19.5" customHeight="1">
      <c r="B47" s="44" t="s">
        <v>114</v>
      </c>
      <c r="C47" s="43" t="s">
        <v>115</v>
      </c>
    </row>
    <row r="48" ht="19.5" customHeight="1">
      <c r="B48" s="45" t="s">
        <v>116</v>
      </c>
      <c r="C48" s="43" t="s">
        <v>117</v>
      </c>
    </row>
    <row r="49" ht="19.5" customHeight="1">
      <c r="B49" s="46" t="s">
        <v>118</v>
      </c>
      <c r="C49" s="43" t="s">
        <v>119</v>
      </c>
    </row>
    <row r="50" ht="19.5" customHeight="1">
      <c r="B50" s="47" t="s">
        <v>120</v>
      </c>
      <c r="C50" s="43" t="s">
        <v>121</v>
      </c>
    </row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8">
    <mergeCell ref="B1:K2"/>
    <mergeCell ref="B3:K3"/>
    <mergeCell ref="B45:G45"/>
    <mergeCell ref="C46:E46"/>
    <mergeCell ref="C47:E47"/>
    <mergeCell ref="C48:E48"/>
    <mergeCell ref="C49:E49"/>
    <mergeCell ref="C50:E50"/>
  </mergeCells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3.0" ySplit="7.0" topLeftCell="D8" activePane="bottomRight" state="frozen"/>
      <selection activeCell="D1" sqref="D1" pane="topRight"/>
      <selection activeCell="A8" sqref="A8" pane="bottomLeft"/>
      <selection activeCell="D8" sqref="D8" pane="bottomRight"/>
    </sheetView>
  </sheetViews>
  <sheetFormatPr customHeight="1" defaultColWidth="14.43" defaultRowHeight="15.0"/>
  <cols>
    <col customWidth="1" min="1" max="1" width="3.0"/>
    <col customWidth="1" min="2" max="2" width="10.0"/>
    <col customWidth="1" min="3" max="3" width="18.0"/>
    <col customWidth="1" min="4" max="4" width="23.71"/>
    <col customWidth="1" min="5" max="46" width="11.0"/>
  </cols>
  <sheetData>
    <row r="1" ht="24.0" customHeight="1">
      <c r="B1" s="4" t="s">
        <v>122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ht="19.5" customHeight="1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ht="18.0" customHeight="1">
      <c r="B3" s="12" t="s">
        <v>123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0"/>
    </row>
    <row r="5" ht="24.0" customHeight="1">
      <c r="B5" s="48" t="s">
        <v>124</v>
      </c>
      <c r="D5" s="49" t="s">
        <v>125</v>
      </c>
    </row>
    <row r="7" ht="36.0" customHeight="1">
      <c r="B7" s="50" t="s">
        <v>126</v>
      </c>
      <c r="C7" s="50" t="s">
        <v>127</v>
      </c>
      <c r="D7" s="50" t="s">
        <v>5</v>
      </c>
      <c r="E7" s="50" t="s">
        <v>128</v>
      </c>
      <c r="F7" s="50" t="s">
        <v>129</v>
      </c>
      <c r="G7" s="50" t="s">
        <v>130</v>
      </c>
      <c r="H7" s="50" t="s">
        <v>131</v>
      </c>
      <c r="I7" s="50" t="s">
        <v>132</v>
      </c>
      <c r="J7" s="50" t="s">
        <v>133</v>
      </c>
      <c r="K7" s="50" t="s">
        <v>134</v>
      </c>
      <c r="L7" s="50" t="s">
        <v>135</v>
      </c>
      <c r="M7" s="50" t="s">
        <v>136</v>
      </c>
      <c r="N7" s="50" t="s">
        <v>137</v>
      </c>
      <c r="O7" s="50" t="s">
        <v>138</v>
      </c>
      <c r="P7" s="50" t="s">
        <v>139</v>
      </c>
      <c r="Q7" s="50" t="s">
        <v>140</v>
      </c>
      <c r="R7" s="50" t="s">
        <v>141</v>
      </c>
      <c r="S7" s="50" t="s">
        <v>142</v>
      </c>
      <c r="T7" s="50" t="s">
        <v>143</v>
      </c>
      <c r="U7" s="50" t="s">
        <v>144</v>
      </c>
      <c r="V7" s="50" t="s">
        <v>145</v>
      </c>
      <c r="W7" s="50" t="s">
        <v>146</v>
      </c>
      <c r="X7" s="50" t="s">
        <v>91</v>
      </c>
      <c r="Y7" s="50" t="s">
        <v>147</v>
      </c>
      <c r="Z7" s="50" t="s">
        <v>148</v>
      </c>
      <c r="AA7" s="50" t="s">
        <v>149</v>
      </c>
      <c r="AB7" s="50" t="s">
        <v>150</v>
      </c>
      <c r="AC7" s="50" t="s">
        <v>151</v>
      </c>
      <c r="AD7" s="50" t="s">
        <v>152</v>
      </c>
      <c r="AE7" s="50" t="s">
        <v>153</v>
      </c>
      <c r="AF7" s="50" t="s">
        <v>154</v>
      </c>
      <c r="AG7" s="50" t="s">
        <v>155</v>
      </c>
      <c r="AH7" s="50" t="s">
        <v>156</v>
      </c>
      <c r="AI7" s="50" t="s">
        <v>157</v>
      </c>
      <c r="AJ7" s="50" t="s">
        <v>158</v>
      </c>
      <c r="AK7" s="50" t="s">
        <v>159</v>
      </c>
      <c r="AL7" s="50" t="s">
        <v>160</v>
      </c>
      <c r="AM7" s="50" t="s">
        <v>161</v>
      </c>
      <c r="AN7" s="50" t="s">
        <v>162</v>
      </c>
      <c r="AO7" s="50" t="s">
        <v>163</v>
      </c>
      <c r="AP7" s="50" t="s">
        <v>164</v>
      </c>
      <c r="AQ7" s="50" t="s">
        <v>165</v>
      </c>
      <c r="AR7" s="50" t="s">
        <v>166</v>
      </c>
      <c r="AS7" s="50" t="s">
        <v>167</v>
      </c>
      <c r="AT7" s="50" t="s">
        <v>168</v>
      </c>
    </row>
    <row r="8" ht="15.75" customHeight="1">
      <c r="B8" s="51" t="s">
        <v>169</v>
      </c>
      <c r="C8" s="51" t="s">
        <v>125</v>
      </c>
      <c r="D8" s="52">
        <v>50000.0</v>
      </c>
      <c r="E8" s="52">
        <v>35000.0</v>
      </c>
      <c r="F8" s="52">
        <v>15000.0</v>
      </c>
      <c r="G8" s="52">
        <v>31000.0</v>
      </c>
      <c r="H8" s="52">
        <v>19000.0</v>
      </c>
      <c r="I8" s="52">
        <v>15000.0</v>
      </c>
      <c r="J8" s="52">
        <v>5000.0</v>
      </c>
      <c r="K8" s="52">
        <v>12000.0</v>
      </c>
      <c r="L8" s="53">
        <v>857.0</v>
      </c>
      <c r="M8" s="53">
        <v>5.4</v>
      </c>
      <c r="N8" s="53">
        <v>3000.0</v>
      </c>
      <c r="O8" s="53">
        <v>2900.0</v>
      </c>
      <c r="P8" s="53">
        <v>986.0</v>
      </c>
      <c r="Q8" s="53">
        <v>13500.0</v>
      </c>
      <c r="R8" s="52">
        <v>12750.0</v>
      </c>
      <c r="S8" s="52">
        <v>330.0</v>
      </c>
      <c r="T8" s="52">
        <v>12878.0</v>
      </c>
      <c r="U8" s="52">
        <v>12750.0</v>
      </c>
      <c r="V8" s="52">
        <v>9000.0</v>
      </c>
      <c r="W8" s="52">
        <v>2160.0</v>
      </c>
      <c r="X8" s="53">
        <v>28.0</v>
      </c>
      <c r="Y8" s="54">
        <v>0.823</v>
      </c>
      <c r="Z8" s="52">
        <v>1250.0</v>
      </c>
      <c r="AA8" s="52">
        <v>3000.0</v>
      </c>
      <c r="AB8" s="53">
        <v>5000.0</v>
      </c>
      <c r="AC8" s="53">
        <v>1600.0</v>
      </c>
      <c r="AD8" s="53">
        <v>75.0</v>
      </c>
      <c r="AE8" s="53">
        <v>8000.0</v>
      </c>
      <c r="AF8" s="53">
        <v>224.0</v>
      </c>
      <c r="AG8" s="53">
        <v>200.0</v>
      </c>
      <c r="AH8" s="53">
        <v>172.0</v>
      </c>
      <c r="AI8" s="54">
        <v>0.507</v>
      </c>
      <c r="AJ8" s="54">
        <v>0.129</v>
      </c>
      <c r="AK8" s="53">
        <v>4.3</v>
      </c>
      <c r="AL8" s="53">
        <v>7.0</v>
      </c>
      <c r="AM8" s="52">
        <v>3000.0</v>
      </c>
      <c r="AN8" s="52">
        <v>9000.0</v>
      </c>
      <c r="AO8" s="52">
        <v>32000.0</v>
      </c>
      <c r="AP8" s="53">
        <v>2200.0</v>
      </c>
      <c r="AQ8" s="53">
        <v>80.0</v>
      </c>
      <c r="AR8" s="53">
        <v>310.0</v>
      </c>
      <c r="AS8" s="53">
        <v>1.0</v>
      </c>
      <c r="AT8" s="53">
        <v>7.0</v>
      </c>
    </row>
    <row r="9" ht="15.75" customHeight="1">
      <c r="B9" s="51" t="s">
        <v>170</v>
      </c>
      <c r="C9" s="51" t="s">
        <v>125</v>
      </c>
      <c r="D9" s="52">
        <v>55000.0</v>
      </c>
      <c r="E9" s="52">
        <v>38500.0</v>
      </c>
      <c r="F9" s="52">
        <v>16500.0</v>
      </c>
      <c r="G9" s="52">
        <v>34100.0</v>
      </c>
      <c r="H9" s="52">
        <v>20900.0</v>
      </c>
      <c r="I9" s="52">
        <v>16500.0</v>
      </c>
      <c r="J9" s="52">
        <v>5500.0</v>
      </c>
      <c r="K9" s="52">
        <v>13500.0</v>
      </c>
      <c r="L9" s="53">
        <v>964.0</v>
      </c>
      <c r="M9" s="53">
        <v>6.0</v>
      </c>
      <c r="N9" s="53">
        <v>3300.0</v>
      </c>
      <c r="O9" s="53">
        <v>3200.0</v>
      </c>
      <c r="P9" s="53">
        <v>1088.0</v>
      </c>
      <c r="Q9" s="53">
        <v>14850.0</v>
      </c>
      <c r="R9" s="52">
        <v>14025.0</v>
      </c>
      <c r="S9" s="52">
        <v>363.0</v>
      </c>
      <c r="T9" s="52">
        <v>14165.0</v>
      </c>
      <c r="U9" s="52">
        <v>14025.0</v>
      </c>
      <c r="V9" s="52">
        <v>9900.0</v>
      </c>
      <c r="W9" s="52">
        <v>2376.0</v>
      </c>
      <c r="X9" s="53">
        <v>33.0</v>
      </c>
      <c r="Y9" s="54">
        <v>0.824</v>
      </c>
      <c r="Z9" s="52">
        <v>1375.0</v>
      </c>
      <c r="AA9" s="52">
        <v>3300.0</v>
      </c>
      <c r="AB9" s="53">
        <v>5000.0</v>
      </c>
      <c r="AC9" s="53">
        <v>1600.0</v>
      </c>
      <c r="AD9" s="53">
        <v>75.0</v>
      </c>
      <c r="AE9" s="53">
        <v>8000.0</v>
      </c>
      <c r="AF9" s="53">
        <v>224.0</v>
      </c>
      <c r="AG9" s="53">
        <v>200.0</v>
      </c>
      <c r="AH9" s="53">
        <v>172.0</v>
      </c>
      <c r="AI9" s="54">
        <v>0.496</v>
      </c>
      <c r="AJ9" s="54">
        <v>0.129</v>
      </c>
      <c r="AK9" s="53">
        <v>4.3</v>
      </c>
      <c r="AL9" s="53">
        <v>6.0</v>
      </c>
      <c r="AM9" s="52">
        <v>3000.0</v>
      </c>
      <c r="AN9" s="52">
        <v>9900.0</v>
      </c>
      <c r="AO9" s="52">
        <v>35500.0</v>
      </c>
      <c r="AP9" s="53">
        <v>2200.0</v>
      </c>
      <c r="AQ9" s="53">
        <v>80.0</v>
      </c>
      <c r="AR9" s="53">
        <v>310.0</v>
      </c>
      <c r="AS9" s="53">
        <v>2.0</v>
      </c>
      <c r="AT9" s="53">
        <v>7.8</v>
      </c>
    </row>
    <row r="10" ht="15.75" customHeight="1">
      <c r="B10" s="51" t="s">
        <v>171</v>
      </c>
      <c r="C10" s="51" t="s">
        <v>125</v>
      </c>
      <c r="D10" s="52">
        <v>60000.0</v>
      </c>
      <c r="E10" s="52">
        <v>42000.0</v>
      </c>
      <c r="F10" s="52">
        <v>18000.0</v>
      </c>
      <c r="G10" s="52">
        <v>37200.0</v>
      </c>
      <c r="H10" s="52">
        <v>22800.0</v>
      </c>
      <c r="I10" s="52">
        <v>18000.0</v>
      </c>
      <c r="J10" s="52">
        <v>6000.0</v>
      </c>
      <c r="K10" s="52">
        <v>15000.0</v>
      </c>
      <c r="L10" s="53">
        <v>1071.0</v>
      </c>
      <c r="M10" s="53">
        <v>6.7</v>
      </c>
      <c r="N10" s="53">
        <v>3500.0</v>
      </c>
      <c r="O10" s="53">
        <v>3400.0</v>
      </c>
      <c r="P10" s="53">
        <v>1156.0</v>
      </c>
      <c r="Q10" s="53">
        <v>16200.0</v>
      </c>
      <c r="R10" s="52">
        <v>15300.0</v>
      </c>
      <c r="S10" s="52">
        <v>396.0</v>
      </c>
      <c r="T10" s="52">
        <v>15453.0</v>
      </c>
      <c r="U10" s="52">
        <v>15300.0</v>
      </c>
      <c r="V10" s="52">
        <v>10800.0</v>
      </c>
      <c r="W10" s="52">
        <v>2592.0</v>
      </c>
      <c r="X10" s="53">
        <v>35.0</v>
      </c>
      <c r="Y10" s="54">
        <v>0.87</v>
      </c>
      <c r="Z10" s="52">
        <v>1500.0</v>
      </c>
      <c r="AA10" s="52">
        <v>3600.0</v>
      </c>
      <c r="AB10" s="53">
        <v>5000.0</v>
      </c>
      <c r="AC10" s="53">
        <v>1600.0</v>
      </c>
      <c r="AD10" s="53">
        <v>75.0</v>
      </c>
      <c r="AE10" s="53">
        <v>8000.0</v>
      </c>
      <c r="AF10" s="53">
        <v>224.0</v>
      </c>
      <c r="AG10" s="53">
        <v>200.0</v>
      </c>
      <c r="AH10" s="53">
        <v>172.0</v>
      </c>
      <c r="AI10" s="54">
        <v>0.517</v>
      </c>
      <c r="AJ10" s="54">
        <v>0.131</v>
      </c>
      <c r="AK10" s="53">
        <v>4.4</v>
      </c>
      <c r="AL10" s="53">
        <v>3.0</v>
      </c>
      <c r="AM10" s="52">
        <v>3000.0</v>
      </c>
      <c r="AN10" s="52">
        <v>10800.0</v>
      </c>
      <c r="AO10" s="52">
        <v>39000.0</v>
      </c>
      <c r="AP10" s="53">
        <v>2200.0</v>
      </c>
      <c r="AQ10" s="53">
        <v>80.0</v>
      </c>
      <c r="AR10" s="53">
        <v>310.0</v>
      </c>
      <c r="AS10" s="53">
        <v>4.0</v>
      </c>
      <c r="AT10" s="53">
        <v>8.7</v>
      </c>
    </row>
    <row r="11" ht="15.75" customHeight="1">
      <c r="B11" s="51" t="s">
        <v>172</v>
      </c>
      <c r="C11" s="51" t="s">
        <v>125</v>
      </c>
      <c r="D11" s="52">
        <v>58000.0</v>
      </c>
      <c r="E11" s="52">
        <v>40600.0</v>
      </c>
      <c r="F11" s="52">
        <v>17400.0</v>
      </c>
      <c r="G11" s="52">
        <v>35960.0</v>
      </c>
      <c r="H11" s="52">
        <v>22040.0</v>
      </c>
      <c r="I11" s="52">
        <v>17400.0</v>
      </c>
      <c r="J11" s="52">
        <v>5800.0</v>
      </c>
      <c r="K11" s="52">
        <v>14500.0</v>
      </c>
      <c r="L11" s="53">
        <v>1036.0</v>
      </c>
      <c r="M11" s="53">
        <v>6.5</v>
      </c>
      <c r="N11" s="53">
        <v>3400.0</v>
      </c>
      <c r="O11" s="53">
        <v>3300.0</v>
      </c>
      <c r="P11" s="53">
        <v>1122.0</v>
      </c>
      <c r="Q11" s="53">
        <v>15660.0</v>
      </c>
      <c r="R11" s="52">
        <v>14790.0</v>
      </c>
      <c r="S11" s="52">
        <v>383.0</v>
      </c>
      <c r="T11" s="52">
        <v>14938.0</v>
      </c>
      <c r="U11" s="52">
        <v>14790.0</v>
      </c>
      <c r="V11" s="52">
        <v>10440.0</v>
      </c>
      <c r="W11" s="52">
        <v>2506.0</v>
      </c>
      <c r="X11" s="53">
        <v>32.0</v>
      </c>
      <c r="Y11" s="54">
        <v>0.853</v>
      </c>
      <c r="Z11" s="52">
        <v>1450.0</v>
      </c>
      <c r="AA11" s="52">
        <v>3480.0</v>
      </c>
      <c r="AB11" s="53">
        <v>5000.0</v>
      </c>
      <c r="AC11" s="53">
        <v>1600.0</v>
      </c>
      <c r="AD11" s="53">
        <v>75.0</v>
      </c>
      <c r="AE11" s="53">
        <v>8000.0</v>
      </c>
      <c r="AF11" s="53">
        <v>224.0</v>
      </c>
      <c r="AG11" s="53">
        <v>200.0</v>
      </c>
      <c r="AH11" s="53">
        <v>172.0</v>
      </c>
      <c r="AI11" s="54">
        <v>0.503</v>
      </c>
      <c r="AJ11" s="54">
        <v>0.151</v>
      </c>
      <c r="AK11" s="53">
        <v>4.1</v>
      </c>
      <c r="AL11" s="53">
        <v>5.0</v>
      </c>
      <c r="AM11" s="52">
        <v>2900.0</v>
      </c>
      <c r="AN11" s="52">
        <v>10440.0</v>
      </c>
      <c r="AO11" s="52">
        <v>37700.0</v>
      </c>
      <c r="AP11" s="53">
        <v>2200.0</v>
      </c>
      <c r="AQ11" s="53">
        <v>80.0</v>
      </c>
      <c r="AR11" s="53">
        <v>310.0</v>
      </c>
      <c r="AS11" s="53">
        <v>1.0</v>
      </c>
      <c r="AT11" s="53">
        <v>8.5</v>
      </c>
    </row>
    <row r="12" ht="15.75" customHeight="1">
      <c r="B12" s="51" t="s">
        <v>173</v>
      </c>
      <c r="C12" s="51" t="s">
        <v>125</v>
      </c>
      <c r="D12" s="52">
        <v>62000.0</v>
      </c>
      <c r="E12" s="52">
        <v>43400.0</v>
      </c>
      <c r="F12" s="52">
        <v>18600.0</v>
      </c>
      <c r="G12" s="52">
        <v>38440.0</v>
      </c>
      <c r="H12" s="52">
        <v>23560.0</v>
      </c>
      <c r="I12" s="52">
        <v>18600.0</v>
      </c>
      <c r="J12" s="52">
        <v>6200.0</v>
      </c>
      <c r="K12" s="52">
        <v>15500.0</v>
      </c>
      <c r="L12" s="53">
        <v>1107.0</v>
      </c>
      <c r="M12" s="53">
        <v>6.9</v>
      </c>
      <c r="N12" s="53">
        <v>3600.0</v>
      </c>
      <c r="O12" s="53">
        <v>3500.0</v>
      </c>
      <c r="P12" s="53">
        <v>1190.0</v>
      </c>
      <c r="Q12" s="53">
        <v>16740.0</v>
      </c>
      <c r="R12" s="52">
        <v>15810.0</v>
      </c>
      <c r="S12" s="52">
        <v>409.0</v>
      </c>
      <c r="T12" s="52">
        <v>15968.0</v>
      </c>
      <c r="U12" s="52">
        <v>15810.0</v>
      </c>
      <c r="V12" s="52">
        <v>11160.0</v>
      </c>
      <c r="W12" s="52">
        <v>2678.0</v>
      </c>
      <c r="X12" s="53">
        <v>32.0</v>
      </c>
      <c r="Y12" s="54">
        <v>0.922</v>
      </c>
      <c r="Z12" s="52">
        <v>1550.0</v>
      </c>
      <c r="AA12" s="52">
        <v>3720.0</v>
      </c>
      <c r="AB12" s="53">
        <v>5000.0</v>
      </c>
      <c r="AC12" s="53">
        <v>1600.0</v>
      </c>
      <c r="AD12" s="53">
        <v>75.0</v>
      </c>
      <c r="AE12" s="53">
        <v>8000.0</v>
      </c>
      <c r="AF12" s="53">
        <v>224.0</v>
      </c>
      <c r="AG12" s="53">
        <v>200.0</v>
      </c>
      <c r="AH12" s="53">
        <v>172.0</v>
      </c>
      <c r="AI12" s="54">
        <v>0.526</v>
      </c>
      <c r="AJ12" s="54">
        <v>0.152</v>
      </c>
      <c r="AK12" s="53">
        <v>4.3</v>
      </c>
      <c r="AL12" s="53">
        <v>6.0</v>
      </c>
      <c r="AM12" s="52">
        <v>3100.0</v>
      </c>
      <c r="AN12" s="52">
        <v>11160.0</v>
      </c>
      <c r="AO12" s="52">
        <v>40300.0</v>
      </c>
      <c r="AP12" s="53">
        <v>2200.0</v>
      </c>
      <c r="AQ12" s="53">
        <v>80.0</v>
      </c>
      <c r="AR12" s="53">
        <v>310.0</v>
      </c>
      <c r="AS12" s="53">
        <v>1.0</v>
      </c>
      <c r="AT12" s="53">
        <v>9.0</v>
      </c>
    </row>
    <row r="13" ht="15.75" customHeight="1">
      <c r="B13" s="51" t="s">
        <v>174</v>
      </c>
      <c r="C13" s="51" t="s">
        <v>125</v>
      </c>
      <c r="D13" s="52">
        <v>64000.0</v>
      </c>
      <c r="E13" s="52">
        <v>44800.0</v>
      </c>
      <c r="F13" s="52">
        <v>19200.0</v>
      </c>
      <c r="G13" s="52">
        <v>39680.0</v>
      </c>
      <c r="H13" s="52">
        <v>24320.0</v>
      </c>
      <c r="I13" s="52">
        <v>19200.0</v>
      </c>
      <c r="J13" s="52">
        <v>6400.0</v>
      </c>
      <c r="K13" s="52">
        <v>16000.0</v>
      </c>
      <c r="L13" s="53">
        <v>1143.0</v>
      </c>
      <c r="M13" s="53">
        <v>7.1</v>
      </c>
      <c r="N13" s="53">
        <v>3700.0</v>
      </c>
      <c r="O13" s="53">
        <v>3600.0</v>
      </c>
      <c r="P13" s="53">
        <v>1224.0</v>
      </c>
      <c r="Q13" s="53">
        <v>17280.0</v>
      </c>
      <c r="R13" s="52">
        <v>16320.0</v>
      </c>
      <c r="S13" s="52">
        <v>422.0</v>
      </c>
      <c r="T13" s="52">
        <v>16483.0</v>
      </c>
      <c r="U13" s="52">
        <v>16320.0</v>
      </c>
      <c r="V13" s="52">
        <v>11520.0</v>
      </c>
      <c r="W13" s="52">
        <v>2765.0</v>
      </c>
      <c r="X13" s="53">
        <v>33.0</v>
      </c>
      <c r="Y13" s="54">
        <v>0.829</v>
      </c>
      <c r="Z13" s="52">
        <v>1600.0</v>
      </c>
      <c r="AA13" s="52">
        <v>3840.0</v>
      </c>
      <c r="AB13" s="53">
        <v>5000.0</v>
      </c>
      <c r="AC13" s="53">
        <v>1600.0</v>
      </c>
      <c r="AD13" s="53">
        <v>75.0</v>
      </c>
      <c r="AE13" s="53">
        <v>8000.0</v>
      </c>
      <c r="AF13" s="53">
        <v>224.0</v>
      </c>
      <c r="AG13" s="53">
        <v>200.0</v>
      </c>
      <c r="AH13" s="53">
        <v>172.0</v>
      </c>
      <c r="AI13" s="54">
        <v>0.508</v>
      </c>
      <c r="AJ13" s="54">
        <v>0.145</v>
      </c>
      <c r="AK13" s="53">
        <v>4.4</v>
      </c>
      <c r="AL13" s="53">
        <v>4.0</v>
      </c>
      <c r="AM13" s="52">
        <v>3200.0</v>
      </c>
      <c r="AN13" s="52">
        <v>11520.0</v>
      </c>
      <c r="AO13" s="52">
        <v>41600.0</v>
      </c>
      <c r="AP13" s="53">
        <v>2200.0</v>
      </c>
      <c r="AQ13" s="53">
        <v>80.0</v>
      </c>
      <c r="AR13" s="53">
        <v>310.0</v>
      </c>
      <c r="AS13" s="53">
        <v>2.0</v>
      </c>
      <c r="AT13" s="53">
        <v>9.2</v>
      </c>
    </row>
    <row r="14" ht="15.75" customHeight="1">
      <c r="B14" s="51" t="s">
        <v>169</v>
      </c>
      <c r="C14" s="51" t="s">
        <v>175</v>
      </c>
      <c r="D14" s="52">
        <v>37500.0</v>
      </c>
      <c r="E14" s="52">
        <v>26250.0</v>
      </c>
      <c r="F14" s="52">
        <v>11250.0</v>
      </c>
      <c r="G14" s="52">
        <v>23250.0</v>
      </c>
      <c r="H14" s="52">
        <v>14250.0</v>
      </c>
      <c r="I14" s="52">
        <v>11250.0</v>
      </c>
      <c r="J14" s="52">
        <v>3750.0</v>
      </c>
      <c r="K14" s="52">
        <v>9000.0</v>
      </c>
      <c r="L14" s="53">
        <v>643.0</v>
      </c>
      <c r="M14" s="53">
        <v>4.0</v>
      </c>
      <c r="N14" s="53">
        <v>2250.0</v>
      </c>
      <c r="O14" s="53">
        <v>2175.0</v>
      </c>
      <c r="P14" s="53">
        <v>740.0</v>
      </c>
      <c r="Q14" s="53">
        <v>10125.0</v>
      </c>
      <c r="R14" s="52">
        <v>9562.0</v>
      </c>
      <c r="S14" s="52">
        <v>247.0</v>
      </c>
      <c r="T14" s="52">
        <v>9658.0</v>
      </c>
      <c r="U14" s="52">
        <v>9562.0</v>
      </c>
      <c r="V14" s="52">
        <v>6750.0</v>
      </c>
      <c r="W14" s="52">
        <v>1620.0</v>
      </c>
      <c r="X14" s="53">
        <v>28.0</v>
      </c>
      <c r="Y14" s="54">
        <v>0.825</v>
      </c>
      <c r="Z14" s="52">
        <v>938.0</v>
      </c>
      <c r="AA14" s="52">
        <v>2251.0</v>
      </c>
      <c r="AB14" s="53">
        <v>5000.0</v>
      </c>
      <c r="AC14" s="53">
        <v>1600.0</v>
      </c>
      <c r="AD14" s="53">
        <v>75.0</v>
      </c>
      <c r="AE14" s="53">
        <v>8000.0</v>
      </c>
      <c r="AF14" s="53">
        <v>224.0</v>
      </c>
      <c r="AG14" s="53">
        <v>200.0</v>
      </c>
      <c r="AH14" s="53">
        <v>172.0</v>
      </c>
      <c r="AI14" s="54">
        <v>0.504</v>
      </c>
      <c r="AJ14" s="54">
        <v>0.132</v>
      </c>
      <c r="AK14" s="53">
        <v>4.1</v>
      </c>
      <c r="AL14" s="53">
        <v>3.0</v>
      </c>
      <c r="AM14" s="52">
        <v>2250.0</v>
      </c>
      <c r="AN14" s="52">
        <v>6750.0</v>
      </c>
      <c r="AO14" s="52">
        <v>24000.0</v>
      </c>
      <c r="AP14" s="53">
        <v>1650.0</v>
      </c>
      <c r="AQ14" s="53">
        <v>60.0</v>
      </c>
      <c r="AR14" s="53">
        <v>310.0</v>
      </c>
      <c r="AS14" s="53">
        <v>1.0</v>
      </c>
      <c r="AT14" s="53">
        <v>5.2</v>
      </c>
    </row>
    <row r="15" ht="15.75" customHeight="1">
      <c r="B15" s="51" t="s">
        <v>170</v>
      </c>
      <c r="C15" s="51" t="s">
        <v>175</v>
      </c>
      <c r="D15" s="52">
        <v>41250.0</v>
      </c>
      <c r="E15" s="52">
        <v>28875.0</v>
      </c>
      <c r="F15" s="52">
        <v>12375.0</v>
      </c>
      <c r="G15" s="52">
        <v>25575.0</v>
      </c>
      <c r="H15" s="52">
        <v>15675.0</v>
      </c>
      <c r="I15" s="52">
        <v>12375.0</v>
      </c>
      <c r="J15" s="52">
        <v>4125.0</v>
      </c>
      <c r="K15" s="52">
        <v>10125.0</v>
      </c>
      <c r="L15" s="53">
        <v>723.0</v>
      </c>
      <c r="M15" s="53">
        <v>4.5</v>
      </c>
      <c r="N15" s="53">
        <v>2475.0</v>
      </c>
      <c r="O15" s="53">
        <v>2400.0</v>
      </c>
      <c r="P15" s="53">
        <v>816.0</v>
      </c>
      <c r="Q15" s="53">
        <v>11138.0</v>
      </c>
      <c r="R15" s="52">
        <v>10519.0</v>
      </c>
      <c r="S15" s="52">
        <v>272.0</v>
      </c>
      <c r="T15" s="52">
        <v>10624.0</v>
      </c>
      <c r="U15" s="52">
        <v>10519.0</v>
      </c>
      <c r="V15" s="52">
        <v>7425.0</v>
      </c>
      <c r="W15" s="52">
        <v>1782.0</v>
      </c>
      <c r="X15" s="53">
        <v>33.0</v>
      </c>
      <c r="Y15" s="54">
        <v>0.853</v>
      </c>
      <c r="Z15" s="52">
        <v>1031.0</v>
      </c>
      <c r="AA15" s="52">
        <v>2474.0</v>
      </c>
      <c r="AB15" s="53">
        <v>5000.0</v>
      </c>
      <c r="AC15" s="53">
        <v>1600.0</v>
      </c>
      <c r="AD15" s="53">
        <v>75.0</v>
      </c>
      <c r="AE15" s="53">
        <v>8000.0</v>
      </c>
      <c r="AF15" s="53">
        <v>224.0</v>
      </c>
      <c r="AG15" s="53">
        <v>200.0</v>
      </c>
      <c r="AH15" s="53">
        <v>172.0</v>
      </c>
      <c r="AI15" s="54">
        <v>0.528</v>
      </c>
      <c r="AJ15" s="54">
        <v>0.135</v>
      </c>
      <c r="AK15" s="53">
        <v>4.2</v>
      </c>
      <c r="AL15" s="53">
        <v>3.0</v>
      </c>
      <c r="AM15" s="52">
        <v>2250.0</v>
      </c>
      <c r="AN15" s="52">
        <v>7425.0</v>
      </c>
      <c r="AO15" s="52">
        <v>26625.0</v>
      </c>
      <c r="AP15" s="53">
        <v>1650.0</v>
      </c>
      <c r="AQ15" s="53">
        <v>60.0</v>
      </c>
      <c r="AR15" s="53">
        <v>310.0</v>
      </c>
      <c r="AS15" s="53">
        <v>3.0</v>
      </c>
      <c r="AT15" s="53">
        <v>5.9</v>
      </c>
    </row>
    <row r="16" ht="15.75" customHeight="1">
      <c r="B16" s="51" t="s">
        <v>171</v>
      </c>
      <c r="C16" s="51" t="s">
        <v>175</v>
      </c>
      <c r="D16" s="52">
        <v>45000.0</v>
      </c>
      <c r="E16" s="52">
        <v>31500.0</v>
      </c>
      <c r="F16" s="52">
        <v>13500.0</v>
      </c>
      <c r="G16" s="52">
        <v>27900.0</v>
      </c>
      <c r="H16" s="52">
        <v>17100.0</v>
      </c>
      <c r="I16" s="52">
        <v>13500.0</v>
      </c>
      <c r="J16" s="52">
        <v>4500.0</v>
      </c>
      <c r="K16" s="52">
        <v>11250.0</v>
      </c>
      <c r="L16" s="53">
        <v>804.0</v>
      </c>
      <c r="M16" s="53">
        <v>5.0</v>
      </c>
      <c r="N16" s="53">
        <v>2625.0</v>
      </c>
      <c r="O16" s="53">
        <v>2550.0</v>
      </c>
      <c r="P16" s="53">
        <v>867.0</v>
      </c>
      <c r="Q16" s="53">
        <v>12150.0</v>
      </c>
      <c r="R16" s="52">
        <v>11475.0</v>
      </c>
      <c r="S16" s="52">
        <v>297.0</v>
      </c>
      <c r="T16" s="52">
        <v>11590.0</v>
      </c>
      <c r="U16" s="52">
        <v>11475.0</v>
      </c>
      <c r="V16" s="52">
        <v>8100.0</v>
      </c>
      <c r="W16" s="52">
        <v>1944.0</v>
      </c>
      <c r="X16" s="53">
        <v>28.0</v>
      </c>
      <c r="Y16" s="54">
        <v>0.893</v>
      </c>
      <c r="Z16" s="52">
        <v>1125.0</v>
      </c>
      <c r="AA16" s="52">
        <v>2700.0</v>
      </c>
      <c r="AB16" s="53">
        <v>5000.0</v>
      </c>
      <c r="AC16" s="53">
        <v>1600.0</v>
      </c>
      <c r="AD16" s="53">
        <v>75.0</v>
      </c>
      <c r="AE16" s="53">
        <v>8000.0</v>
      </c>
      <c r="AF16" s="53">
        <v>224.0</v>
      </c>
      <c r="AG16" s="53">
        <v>200.0</v>
      </c>
      <c r="AH16" s="53">
        <v>172.0</v>
      </c>
      <c r="AI16" s="54">
        <v>0.5</v>
      </c>
      <c r="AJ16" s="54">
        <v>0.149</v>
      </c>
      <c r="AK16" s="53">
        <v>4.1</v>
      </c>
      <c r="AL16" s="53">
        <v>5.0</v>
      </c>
      <c r="AM16" s="52">
        <v>2250.0</v>
      </c>
      <c r="AN16" s="52">
        <v>8100.0</v>
      </c>
      <c r="AO16" s="52">
        <v>29250.0</v>
      </c>
      <c r="AP16" s="53">
        <v>1650.0</v>
      </c>
      <c r="AQ16" s="53">
        <v>60.0</v>
      </c>
      <c r="AR16" s="53">
        <v>310.0</v>
      </c>
      <c r="AS16" s="53">
        <v>3.0</v>
      </c>
      <c r="AT16" s="53">
        <v>6.5</v>
      </c>
    </row>
    <row r="17" ht="15.75" customHeight="1">
      <c r="B17" s="51" t="s">
        <v>172</v>
      </c>
      <c r="C17" s="51" t="s">
        <v>175</v>
      </c>
      <c r="D17" s="52">
        <v>43500.0</v>
      </c>
      <c r="E17" s="52">
        <v>30450.0</v>
      </c>
      <c r="F17" s="52">
        <v>13050.0</v>
      </c>
      <c r="G17" s="52">
        <v>26970.0</v>
      </c>
      <c r="H17" s="52">
        <v>16530.0</v>
      </c>
      <c r="I17" s="52">
        <v>13050.0</v>
      </c>
      <c r="J17" s="52">
        <v>4350.0</v>
      </c>
      <c r="K17" s="52">
        <v>10875.0</v>
      </c>
      <c r="L17" s="53">
        <v>777.0</v>
      </c>
      <c r="M17" s="53">
        <v>4.9</v>
      </c>
      <c r="N17" s="53">
        <v>2550.0</v>
      </c>
      <c r="O17" s="53">
        <v>2475.0</v>
      </c>
      <c r="P17" s="53">
        <v>842.0</v>
      </c>
      <c r="Q17" s="53">
        <v>11745.0</v>
      </c>
      <c r="R17" s="52">
        <v>11092.0</v>
      </c>
      <c r="S17" s="52">
        <v>287.0</v>
      </c>
      <c r="T17" s="52">
        <v>11203.0</v>
      </c>
      <c r="U17" s="52">
        <v>11092.0</v>
      </c>
      <c r="V17" s="52">
        <v>7830.0</v>
      </c>
      <c r="W17" s="52">
        <v>1879.0</v>
      </c>
      <c r="X17" s="53">
        <v>35.0</v>
      </c>
      <c r="Y17" s="54">
        <v>0.846</v>
      </c>
      <c r="Z17" s="52">
        <v>1088.0</v>
      </c>
      <c r="AA17" s="52">
        <v>2611.0</v>
      </c>
      <c r="AB17" s="53">
        <v>5000.0</v>
      </c>
      <c r="AC17" s="53">
        <v>1600.0</v>
      </c>
      <c r="AD17" s="53">
        <v>75.0</v>
      </c>
      <c r="AE17" s="53">
        <v>8000.0</v>
      </c>
      <c r="AF17" s="53">
        <v>224.0</v>
      </c>
      <c r="AG17" s="53">
        <v>200.0</v>
      </c>
      <c r="AH17" s="53">
        <v>172.0</v>
      </c>
      <c r="AI17" s="54">
        <v>0.509</v>
      </c>
      <c r="AJ17" s="54">
        <v>0.151</v>
      </c>
      <c r="AK17" s="53">
        <v>4.1</v>
      </c>
      <c r="AL17" s="53">
        <v>2.0</v>
      </c>
      <c r="AM17" s="52">
        <v>2175.0</v>
      </c>
      <c r="AN17" s="52">
        <v>7830.0</v>
      </c>
      <c r="AO17" s="52">
        <v>28275.0</v>
      </c>
      <c r="AP17" s="53">
        <v>1650.0</v>
      </c>
      <c r="AQ17" s="53">
        <v>60.0</v>
      </c>
      <c r="AR17" s="53">
        <v>310.0</v>
      </c>
      <c r="AS17" s="53">
        <v>3.0</v>
      </c>
      <c r="AT17" s="53">
        <v>6.4</v>
      </c>
    </row>
    <row r="18" ht="15.75" customHeight="1">
      <c r="B18" s="51" t="s">
        <v>173</v>
      </c>
      <c r="C18" s="51" t="s">
        <v>175</v>
      </c>
      <c r="D18" s="52">
        <v>46500.0</v>
      </c>
      <c r="E18" s="52">
        <v>32550.0</v>
      </c>
      <c r="F18" s="52">
        <v>13950.0</v>
      </c>
      <c r="G18" s="52">
        <v>28830.0</v>
      </c>
      <c r="H18" s="52">
        <v>17670.0</v>
      </c>
      <c r="I18" s="52">
        <v>13950.0</v>
      </c>
      <c r="J18" s="52">
        <v>4650.0</v>
      </c>
      <c r="K18" s="52">
        <v>11625.0</v>
      </c>
      <c r="L18" s="53">
        <v>830.0</v>
      </c>
      <c r="M18" s="53">
        <v>5.2</v>
      </c>
      <c r="N18" s="53">
        <v>2700.0</v>
      </c>
      <c r="O18" s="53">
        <v>2625.0</v>
      </c>
      <c r="P18" s="53">
        <v>893.0</v>
      </c>
      <c r="Q18" s="53">
        <v>12555.0</v>
      </c>
      <c r="R18" s="52">
        <v>11858.0</v>
      </c>
      <c r="S18" s="52">
        <v>307.0</v>
      </c>
      <c r="T18" s="52">
        <v>11977.0</v>
      </c>
      <c r="U18" s="52">
        <v>11858.0</v>
      </c>
      <c r="V18" s="52">
        <v>8370.0</v>
      </c>
      <c r="W18" s="52">
        <v>2009.0</v>
      </c>
      <c r="X18" s="53">
        <v>33.0</v>
      </c>
      <c r="Y18" s="54">
        <v>0.852</v>
      </c>
      <c r="Z18" s="52">
        <v>1162.0</v>
      </c>
      <c r="AA18" s="52">
        <v>2789.0</v>
      </c>
      <c r="AB18" s="53">
        <v>5000.0</v>
      </c>
      <c r="AC18" s="53">
        <v>1600.0</v>
      </c>
      <c r="AD18" s="53">
        <v>75.0</v>
      </c>
      <c r="AE18" s="53">
        <v>8000.0</v>
      </c>
      <c r="AF18" s="53">
        <v>224.0</v>
      </c>
      <c r="AG18" s="53">
        <v>200.0</v>
      </c>
      <c r="AH18" s="53">
        <v>172.0</v>
      </c>
      <c r="AI18" s="54">
        <v>0.503</v>
      </c>
      <c r="AJ18" s="54">
        <v>0.158</v>
      </c>
      <c r="AK18" s="53">
        <v>4.4</v>
      </c>
      <c r="AL18" s="53">
        <v>4.0</v>
      </c>
      <c r="AM18" s="52">
        <v>2325.0</v>
      </c>
      <c r="AN18" s="52">
        <v>8370.0</v>
      </c>
      <c r="AO18" s="52">
        <v>30225.0</v>
      </c>
      <c r="AP18" s="53">
        <v>1650.0</v>
      </c>
      <c r="AQ18" s="53">
        <v>60.0</v>
      </c>
      <c r="AR18" s="53">
        <v>310.0</v>
      </c>
      <c r="AS18" s="53">
        <v>2.0</v>
      </c>
      <c r="AT18" s="53">
        <v>6.8</v>
      </c>
    </row>
    <row r="19" ht="15.75" customHeight="1">
      <c r="B19" s="51" t="s">
        <v>174</v>
      </c>
      <c r="C19" s="51" t="s">
        <v>175</v>
      </c>
      <c r="D19" s="52">
        <v>48000.0</v>
      </c>
      <c r="E19" s="52">
        <v>33600.0</v>
      </c>
      <c r="F19" s="52">
        <v>14400.0</v>
      </c>
      <c r="G19" s="52">
        <v>29760.0</v>
      </c>
      <c r="H19" s="52">
        <v>18240.0</v>
      </c>
      <c r="I19" s="52">
        <v>14400.0</v>
      </c>
      <c r="J19" s="52">
        <v>4800.0</v>
      </c>
      <c r="K19" s="52">
        <v>12000.0</v>
      </c>
      <c r="L19" s="53">
        <v>857.0</v>
      </c>
      <c r="M19" s="53">
        <v>5.4</v>
      </c>
      <c r="N19" s="53">
        <v>2775.0</v>
      </c>
      <c r="O19" s="53">
        <v>2700.0</v>
      </c>
      <c r="P19" s="53">
        <v>918.0</v>
      </c>
      <c r="Q19" s="53">
        <v>12960.0</v>
      </c>
      <c r="R19" s="52">
        <v>12240.0</v>
      </c>
      <c r="S19" s="52">
        <v>317.0</v>
      </c>
      <c r="T19" s="52">
        <v>12362.0</v>
      </c>
      <c r="U19" s="52">
        <v>12240.0</v>
      </c>
      <c r="V19" s="52">
        <v>8640.0</v>
      </c>
      <c r="W19" s="52">
        <v>2074.0</v>
      </c>
      <c r="X19" s="53">
        <v>34.0</v>
      </c>
      <c r="Y19" s="54">
        <v>0.867</v>
      </c>
      <c r="Z19" s="52">
        <v>1200.0</v>
      </c>
      <c r="AA19" s="52">
        <v>2880.0</v>
      </c>
      <c r="AB19" s="53">
        <v>5000.0</v>
      </c>
      <c r="AC19" s="53">
        <v>1600.0</v>
      </c>
      <c r="AD19" s="53">
        <v>75.0</v>
      </c>
      <c r="AE19" s="53">
        <v>8000.0</v>
      </c>
      <c r="AF19" s="53">
        <v>224.0</v>
      </c>
      <c r="AG19" s="53">
        <v>200.0</v>
      </c>
      <c r="AH19" s="53">
        <v>172.0</v>
      </c>
      <c r="AI19" s="54">
        <v>0.545</v>
      </c>
      <c r="AJ19" s="54">
        <v>0.138</v>
      </c>
      <c r="AK19" s="53">
        <v>4.2</v>
      </c>
      <c r="AL19" s="53">
        <v>3.0</v>
      </c>
      <c r="AM19" s="52">
        <v>2400.0</v>
      </c>
      <c r="AN19" s="52">
        <v>8640.0</v>
      </c>
      <c r="AO19" s="52">
        <v>31200.0</v>
      </c>
      <c r="AP19" s="53">
        <v>1650.0</v>
      </c>
      <c r="AQ19" s="53">
        <v>60.0</v>
      </c>
      <c r="AR19" s="53">
        <v>310.0</v>
      </c>
      <c r="AS19" s="53">
        <v>3.0</v>
      </c>
      <c r="AT19" s="53">
        <v>7.0</v>
      </c>
    </row>
    <row r="20" ht="15.75" customHeight="1">
      <c r="B20" s="51" t="s">
        <v>169</v>
      </c>
      <c r="C20" s="51" t="s">
        <v>176</v>
      </c>
      <c r="D20" s="52">
        <v>27500.0</v>
      </c>
      <c r="E20" s="52">
        <v>19250.0</v>
      </c>
      <c r="F20" s="52">
        <v>8250.0</v>
      </c>
      <c r="G20" s="52">
        <v>17050.0</v>
      </c>
      <c r="H20" s="52">
        <v>10450.0</v>
      </c>
      <c r="I20" s="52">
        <v>8250.0</v>
      </c>
      <c r="J20" s="52">
        <v>2750.0</v>
      </c>
      <c r="K20" s="52">
        <v>6600.0</v>
      </c>
      <c r="L20" s="53">
        <v>471.0</v>
      </c>
      <c r="M20" s="53">
        <v>2.9</v>
      </c>
      <c r="N20" s="53">
        <v>1650.0</v>
      </c>
      <c r="O20" s="53">
        <v>1595.0</v>
      </c>
      <c r="P20" s="53">
        <v>542.0</v>
      </c>
      <c r="Q20" s="53">
        <v>7425.0</v>
      </c>
      <c r="R20" s="52">
        <v>7012.0</v>
      </c>
      <c r="S20" s="52">
        <v>182.0</v>
      </c>
      <c r="T20" s="52">
        <v>7082.0</v>
      </c>
      <c r="U20" s="52">
        <v>7012.0</v>
      </c>
      <c r="V20" s="52">
        <v>4950.0</v>
      </c>
      <c r="W20" s="52">
        <v>1188.0</v>
      </c>
      <c r="X20" s="53">
        <v>33.0</v>
      </c>
      <c r="Y20" s="54">
        <v>0.928</v>
      </c>
      <c r="Z20" s="52">
        <v>688.0</v>
      </c>
      <c r="AA20" s="52">
        <v>1651.0</v>
      </c>
      <c r="AB20" s="53">
        <v>5000.0</v>
      </c>
      <c r="AC20" s="53">
        <v>1600.0</v>
      </c>
      <c r="AD20" s="53">
        <v>75.0</v>
      </c>
      <c r="AE20" s="53">
        <v>8000.0</v>
      </c>
      <c r="AF20" s="53">
        <v>224.0</v>
      </c>
      <c r="AG20" s="53">
        <v>200.0</v>
      </c>
      <c r="AH20" s="53">
        <v>172.0</v>
      </c>
      <c r="AI20" s="54">
        <v>0.514</v>
      </c>
      <c r="AJ20" s="54">
        <v>0.129</v>
      </c>
      <c r="AK20" s="53">
        <v>4.4</v>
      </c>
      <c r="AL20" s="53">
        <v>6.0</v>
      </c>
      <c r="AM20" s="52">
        <v>1650.0</v>
      </c>
      <c r="AN20" s="52">
        <v>4950.0</v>
      </c>
      <c r="AO20" s="52">
        <v>17600.0</v>
      </c>
      <c r="AP20" s="53">
        <v>1210.0</v>
      </c>
      <c r="AQ20" s="53">
        <v>44.0</v>
      </c>
      <c r="AR20" s="53">
        <v>310.0</v>
      </c>
      <c r="AS20" s="53">
        <v>4.0</v>
      </c>
      <c r="AT20" s="53">
        <v>3.8</v>
      </c>
    </row>
    <row r="21" ht="15.75" customHeight="1">
      <c r="B21" s="51" t="s">
        <v>170</v>
      </c>
      <c r="C21" s="51" t="s">
        <v>176</v>
      </c>
      <c r="D21" s="52">
        <v>30250.0</v>
      </c>
      <c r="E21" s="52">
        <v>21175.0</v>
      </c>
      <c r="F21" s="52">
        <v>9075.0</v>
      </c>
      <c r="G21" s="52">
        <v>18755.0</v>
      </c>
      <c r="H21" s="52">
        <v>11495.0</v>
      </c>
      <c r="I21" s="52">
        <v>9075.0</v>
      </c>
      <c r="J21" s="52">
        <v>3025.0</v>
      </c>
      <c r="K21" s="52">
        <v>7425.0</v>
      </c>
      <c r="L21" s="53">
        <v>530.0</v>
      </c>
      <c r="M21" s="53">
        <v>3.3</v>
      </c>
      <c r="N21" s="53">
        <v>1815.0</v>
      </c>
      <c r="O21" s="53">
        <v>1760.0</v>
      </c>
      <c r="P21" s="53">
        <v>598.0</v>
      </c>
      <c r="Q21" s="53">
        <v>8168.0</v>
      </c>
      <c r="R21" s="52">
        <v>7714.0</v>
      </c>
      <c r="S21" s="52">
        <v>200.0</v>
      </c>
      <c r="T21" s="52">
        <v>7791.0</v>
      </c>
      <c r="U21" s="52">
        <v>7714.0</v>
      </c>
      <c r="V21" s="52">
        <v>5445.0</v>
      </c>
      <c r="W21" s="52">
        <v>1307.0</v>
      </c>
      <c r="X21" s="53">
        <v>28.0</v>
      </c>
      <c r="Y21" s="54">
        <v>0.911</v>
      </c>
      <c r="Z21" s="52">
        <v>756.0</v>
      </c>
      <c r="AA21" s="52">
        <v>1814.0</v>
      </c>
      <c r="AB21" s="53">
        <v>5000.0</v>
      </c>
      <c r="AC21" s="53">
        <v>1600.0</v>
      </c>
      <c r="AD21" s="53">
        <v>75.0</v>
      </c>
      <c r="AE21" s="53">
        <v>8000.0</v>
      </c>
      <c r="AF21" s="53">
        <v>224.0</v>
      </c>
      <c r="AG21" s="53">
        <v>200.0</v>
      </c>
      <c r="AH21" s="53">
        <v>172.0</v>
      </c>
      <c r="AI21" s="54">
        <v>0.542</v>
      </c>
      <c r="AJ21" s="54">
        <v>0.126</v>
      </c>
      <c r="AK21" s="53">
        <v>4.1</v>
      </c>
      <c r="AL21" s="53">
        <v>7.0</v>
      </c>
      <c r="AM21" s="52">
        <v>1650.0</v>
      </c>
      <c r="AN21" s="52">
        <v>5445.0</v>
      </c>
      <c r="AO21" s="52">
        <v>19525.0</v>
      </c>
      <c r="AP21" s="53">
        <v>1210.0</v>
      </c>
      <c r="AQ21" s="53">
        <v>44.0</v>
      </c>
      <c r="AR21" s="53">
        <v>310.0</v>
      </c>
      <c r="AS21" s="53">
        <v>4.0</v>
      </c>
      <c r="AT21" s="53">
        <v>4.3</v>
      </c>
    </row>
    <row r="22" ht="15.75" customHeight="1">
      <c r="B22" s="51" t="s">
        <v>171</v>
      </c>
      <c r="C22" s="51" t="s">
        <v>176</v>
      </c>
      <c r="D22" s="52">
        <v>33000.0</v>
      </c>
      <c r="E22" s="52">
        <v>23100.0</v>
      </c>
      <c r="F22" s="52">
        <v>9900.0</v>
      </c>
      <c r="G22" s="52">
        <v>20460.0</v>
      </c>
      <c r="H22" s="52">
        <v>12540.0</v>
      </c>
      <c r="I22" s="52">
        <v>9900.0</v>
      </c>
      <c r="J22" s="52">
        <v>3300.0</v>
      </c>
      <c r="K22" s="52">
        <v>8250.0</v>
      </c>
      <c r="L22" s="53">
        <v>589.0</v>
      </c>
      <c r="M22" s="53">
        <v>3.7</v>
      </c>
      <c r="N22" s="53">
        <v>1925.0</v>
      </c>
      <c r="O22" s="53">
        <v>1870.0</v>
      </c>
      <c r="P22" s="53">
        <v>636.0</v>
      </c>
      <c r="Q22" s="53">
        <v>8910.0</v>
      </c>
      <c r="R22" s="52">
        <v>8415.0</v>
      </c>
      <c r="S22" s="52">
        <v>218.0</v>
      </c>
      <c r="T22" s="52">
        <v>8499.0</v>
      </c>
      <c r="U22" s="52">
        <v>8415.0</v>
      </c>
      <c r="V22" s="52">
        <v>5940.0</v>
      </c>
      <c r="W22" s="52">
        <v>1426.0</v>
      </c>
      <c r="X22" s="53">
        <v>28.0</v>
      </c>
      <c r="Y22" s="54">
        <v>0.866</v>
      </c>
      <c r="Z22" s="52">
        <v>825.0</v>
      </c>
      <c r="AA22" s="52">
        <v>1980.0</v>
      </c>
      <c r="AB22" s="53">
        <v>5000.0</v>
      </c>
      <c r="AC22" s="53">
        <v>1600.0</v>
      </c>
      <c r="AD22" s="53">
        <v>75.0</v>
      </c>
      <c r="AE22" s="53">
        <v>8000.0</v>
      </c>
      <c r="AF22" s="53">
        <v>224.0</v>
      </c>
      <c r="AG22" s="53">
        <v>200.0</v>
      </c>
      <c r="AH22" s="53">
        <v>172.0</v>
      </c>
      <c r="AI22" s="54">
        <v>0.526</v>
      </c>
      <c r="AJ22" s="54">
        <v>0.139</v>
      </c>
      <c r="AK22" s="53">
        <v>4.2</v>
      </c>
      <c r="AL22" s="53">
        <v>6.0</v>
      </c>
      <c r="AM22" s="52">
        <v>1650.0</v>
      </c>
      <c r="AN22" s="52">
        <v>5940.0</v>
      </c>
      <c r="AO22" s="52">
        <v>21450.0</v>
      </c>
      <c r="AP22" s="53">
        <v>1210.0</v>
      </c>
      <c r="AQ22" s="53">
        <v>44.0</v>
      </c>
      <c r="AR22" s="53">
        <v>310.0</v>
      </c>
      <c r="AS22" s="53">
        <v>1.0</v>
      </c>
      <c r="AT22" s="53">
        <v>4.8</v>
      </c>
    </row>
    <row r="23" ht="15.75" customHeight="1">
      <c r="B23" s="51" t="s">
        <v>172</v>
      </c>
      <c r="C23" s="51" t="s">
        <v>176</v>
      </c>
      <c r="D23" s="52">
        <v>31900.0</v>
      </c>
      <c r="E23" s="52">
        <v>22330.0</v>
      </c>
      <c r="F23" s="52">
        <v>9570.0</v>
      </c>
      <c r="G23" s="52">
        <v>19778.0</v>
      </c>
      <c r="H23" s="52">
        <v>12122.0</v>
      </c>
      <c r="I23" s="52">
        <v>9570.0</v>
      </c>
      <c r="J23" s="52">
        <v>3190.0</v>
      </c>
      <c r="K23" s="52">
        <v>7975.0</v>
      </c>
      <c r="L23" s="53">
        <v>570.0</v>
      </c>
      <c r="M23" s="53">
        <v>3.6</v>
      </c>
      <c r="N23" s="53">
        <v>1870.0</v>
      </c>
      <c r="O23" s="53">
        <v>1815.0</v>
      </c>
      <c r="P23" s="53">
        <v>617.0</v>
      </c>
      <c r="Q23" s="53">
        <v>8613.0</v>
      </c>
      <c r="R23" s="52">
        <v>8134.0</v>
      </c>
      <c r="S23" s="52">
        <v>211.0</v>
      </c>
      <c r="T23" s="52">
        <v>8215.0</v>
      </c>
      <c r="U23" s="52">
        <v>8134.0</v>
      </c>
      <c r="V23" s="52">
        <v>5742.0</v>
      </c>
      <c r="W23" s="52">
        <v>1378.0</v>
      </c>
      <c r="X23" s="53">
        <v>28.0</v>
      </c>
      <c r="Y23" s="54">
        <v>0.902</v>
      </c>
      <c r="Z23" s="52">
        <v>798.0</v>
      </c>
      <c r="AA23" s="52">
        <v>1915.0</v>
      </c>
      <c r="AB23" s="53">
        <v>5000.0</v>
      </c>
      <c r="AC23" s="53">
        <v>1600.0</v>
      </c>
      <c r="AD23" s="53">
        <v>75.0</v>
      </c>
      <c r="AE23" s="53">
        <v>8000.0</v>
      </c>
      <c r="AF23" s="53">
        <v>224.0</v>
      </c>
      <c r="AG23" s="53">
        <v>200.0</v>
      </c>
      <c r="AH23" s="53">
        <v>172.0</v>
      </c>
      <c r="AI23" s="54">
        <v>0.522</v>
      </c>
      <c r="AJ23" s="54">
        <v>0.131</v>
      </c>
      <c r="AK23" s="53">
        <v>4.3</v>
      </c>
      <c r="AL23" s="53">
        <v>2.0</v>
      </c>
      <c r="AM23" s="52">
        <v>1595.0</v>
      </c>
      <c r="AN23" s="52">
        <v>5742.0</v>
      </c>
      <c r="AO23" s="52">
        <v>20735.0</v>
      </c>
      <c r="AP23" s="53">
        <v>1210.0</v>
      </c>
      <c r="AQ23" s="53">
        <v>44.0</v>
      </c>
      <c r="AR23" s="53">
        <v>310.0</v>
      </c>
      <c r="AS23" s="53">
        <v>3.0</v>
      </c>
      <c r="AT23" s="53">
        <v>4.7</v>
      </c>
    </row>
    <row r="24" ht="15.75" customHeight="1">
      <c r="B24" s="51" t="s">
        <v>173</v>
      </c>
      <c r="C24" s="51" t="s">
        <v>176</v>
      </c>
      <c r="D24" s="52">
        <v>34100.0</v>
      </c>
      <c r="E24" s="52">
        <v>23870.0</v>
      </c>
      <c r="F24" s="52">
        <v>10230.0</v>
      </c>
      <c r="G24" s="52">
        <v>21142.0</v>
      </c>
      <c r="H24" s="52">
        <v>12958.0</v>
      </c>
      <c r="I24" s="52">
        <v>10230.0</v>
      </c>
      <c r="J24" s="52">
        <v>3410.0</v>
      </c>
      <c r="K24" s="52">
        <v>8525.0</v>
      </c>
      <c r="L24" s="53">
        <v>609.0</v>
      </c>
      <c r="M24" s="53">
        <v>3.8</v>
      </c>
      <c r="N24" s="53">
        <v>1980.0</v>
      </c>
      <c r="O24" s="53">
        <v>1925.0</v>
      </c>
      <c r="P24" s="53">
        <v>654.0</v>
      </c>
      <c r="Q24" s="53">
        <v>9207.0</v>
      </c>
      <c r="R24" s="52">
        <v>8696.0</v>
      </c>
      <c r="S24" s="52">
        <v>225.0</v>
      </c>
      <c r="T24" s="52">
        <v>8783.0</v>
      </c>
      <c r="U24" s="52">
        <v>8696.0</v>
      </c>
      <c r="V24" s="52">
        <v>6138.0</v>
      </c>
      <c r="W24" s="52">
        <v>1473.0</v>
      </c>
      <c r="X24" s="53">
        <v>33.0</v>
      </c>
      <c r="Y24" s="54">
        <v>0.839</v>
      </c>
      <c r="Z24" s="52">
        <v>852.0</v>
      </c>
      <c r="AA24" s="52">
        <v>2045.0</v>
      </c>
      <c r="AB24" s="53">
        <v>5000.0</v>
      </c>
      <c r="AC24" s="53">
        <v>1600.0</v>
      </c>
      <c r="AD24" s="53">
        <v>75.0</v>
      </c>
      <c r="AE24" s="53">
        <v>8000.0</v>
      </c>
      <c r="AF24" s="53">
        <v>224.0</v>
      </c>
      <c r="AG24" s="53">
        <v>200.0</v>
      </c>
      <c r="AH24" s="53">
        <v>172.0</v>
      </c>
      <c r="AI24" s="54">
        <v>0.49</v>
      </c>
      <c r="AJ24" s="54">
        <v>0.149</v>
      </c>
      <c r="AK24" s="53">
        <v>4.3</v>
      </c>
      <c r="AL24" s="53">
        <v>6.0</v>
      </c>
      <c r="AM24" s="52">
        <v>1705.0</v>
      </c>
      <c r="AN24" s="52">
        <v>6138.0</v>
      </c>
      <c r="AO24" s="52">
        <v>22165.0</v>
      </c>
      <c r="AP24" s="53">
        <v>1210.0</v>
      </c>
      <c r="AQ24" s="53">
        <v>44.0</v>
      </c>
      <c r="AR24" s="53">
        <v>310.0</v>
      </c>
      <c r="AS24" s="53">
        <v>2.0</v>
      </c>
      <c r="AT24" s="53">
        <v>4.9</v>
      </c>
    </row>
    <row r="25" ht="15.75" customHeight="1">
      <c r="B25" s="51" t="s">
        <v>174</v>
      </c>
      <c r="C25" s="51" t="s">
        <v>176</v>
      </c>
      <c r="D25" s="52">
        <v>35200.0</v>
      </c>
      <c r="E25" s="52">
        <v>24640.0</v>
      </c>
      <c r="F25" s="52">
        <v>10560.0</v>
      </c>
      <c r="G25" s="52">
        <v>21824.0</v>
      </c>
      <c r="H25" s="52">
        <v>13376.0</v>
      </c>
      <c r="I25" s="52">
        <v>10560.0</v>
      </c>
      <c r="J25" s="52">
        <v>3520.0</v>
      </c>
      <c r="K25" s="52">
        <v>8800.0</v>
      </c>
      <c r="L25" s="53">
        <v>629.0</v>
      </c>
      <c r="M25" s="53">
        <v>3.9</v>
      </c>
      <c r="N25" s="53">
        <v>2035.0</v>
      </c>
      <c r="O25" s="53">
        <v>1980.0</v>
      </c>
      <c r="P25" s="53">
        <v>673.0</v>
      </c>
      <c r="Q25" s="53">
        <v>9504.0</v>
      </c>
      <c r="R25" s="52">
        <v>8976.0</v>
      </c>
      <c r="S25" s="52">
        <v>232.0</v>
      </c>
      <c r="T25" s="52">
        <v>9066.0</v>
      </c>
      <c r="U25" s="52">
        <v>8976.0</v>
      </c>
      <c r="V25" s="52">
        <v>6336.0</v>
      </c>
      <c r="W25" s="52">
        <v>1521.0</v>
      </c>
      <c r="X25" s="53">
        <v>35.0</v>
      </c>
      <c r="Y25" s="54">
        <v>0.93</v>
      </c>
      <c r="Z25" s="52">
        <v>880.0</v>
      </c>
      <c r="AA25" s="52">
        <v>2112.0</v>
      </c>
      <c r="AB25" s="53">
        <v>5000.0</v>
      </c>
      <c r="AC25" s="53">
        <v>1600.0</v>
      </c>
      <c r="AD25" s="53">
        <v>75.0</v>
      </c>
      <c r="AE25" s="53">
        <v>8000.0</v>
      </c>
      <c r="AF25" s="53">
        <v>224.0</v>
      </c>
      <c r="AG25" s="53">
        <v>200.0</v>
      </c>
      <c r="AH25" s="53">
        <v>172.0</v>
      </c>
      <c r="AI25" s="54">
        <v>0.542</v>
      </c>
      <c r="AJ25" s="54">
        <v>0.132</v>
      </c>
      <c r="AK25" s="53">
        <v>4.3</v>
      </c>
      <c r="AL25" s="53">
        <v>6.0</v>
      </c>
      <c r="AM25" s="52">
        <v>1760.0</v>
      </c>
      <c r="AN25" s="52">
        <v>6336.0</v>
      </c>
      <c r="AO25" s="52">
        <v>22880.0</v>
      </c>
      <c r="AP25" s="53">
        <v>1210.0</v>
      </c>
      <c r="AQ25" s="53">
        <v>44.0</v>
      </c>
      <c r="AR25" s="53">
        <v>310.0</v>
      </c>
      <c r="AS25" s="53">
        <v>2.0</v>
      </c>
      <c r="AT25" s="53">
        <v>5.1</v>
      </c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T2"/>
    <mergeCell ref="B3:T3"/>
  </mergeCells>
  <dataValidations>
    <dataValidation type="list" allowBlank="1" sqref="B8:B25">
      <formula1>"2026-01,2026-02,2026-03,2026-04,2026-05,2026-06"</formula1>
    </dataValidation>
    <dataValidation type="list" allowBlank="1" sqref="D5 C8:C25">
      <formula1>"Main Street (Flagship),Downtown Branch,Riverside Branch"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7.0" topLeftCell="B8" activePane="bottomRight" state="frozen"/>
      <selection activeCell="B1" sqref="B1" pane="topRight"/>
      <selection activeCell="A8" sqref="A8" pane="bottomLeft"/>
      <selection activeCell="B8" sqref="B8" pane="bottomRight"/>
    </sheetView>
  </sheetViews>
  <sheetFormatPr customHeight="1" defaultColWidth="14.43" defaultRowHeight="15.0"/>
  <cols>
    <col customWidth="1" min="1" max="1" width="3.0"/>
    <col customWidth="1" min="2" max="2" width="18.71"/>
    <col customWidth="1" min="3" max="3" width="19.14"/>
    <col customWidth="1" min="4" max="4" width="30.14"/>
    <col customWidth="1" min="5" max="5" width="9.86"/>
    <col customWidth="1" min="6" max="6" width="12.71"/>
    <col customWidth="1" min="7" max="7" width="11.0"/>
    <col customWidth="1" min="8" max="8" width="23.71"/>
    <col customWidth="1" min="9" max="12" width="8.71"/>
    <col customWidth="1" min="13" max="14" width="13.0"/>
    <col customWidth="1" min="15" max="26" width="8.71"/>
  </cols>
  <sheetData>
    <row r="1" ht="24.0" customHeight="1">
      <c r="B1" s="4" t="s">
        <v>177</v>
      </c>
      <c r="C1" s="2"/>
      <c r="D1" s="2"/>
      <c r="E1" s="2"/>
      <c r="F1" s="2"/>
      <c r="G1" s="2"/>
      <c r="H1" s="2"/>
      <c r="I1" s="2"/>
      <c r="J1" s="2"/>
      <c r="K1" s="3"/>
    </row>
    <row r="2" ht="19.5" customHeight="1">
      <c r="B2" s="5"/>
      <c r="C2" s="6"/>
      <c r="D2" s="6"/>
      <c r="E2" s="6"/>
      <c r="F2" s="6"/>
      <c r="G2" s="6"/>
      <c r="H2" s="6"/>
      <c r="I2" s="6"/>
      <c r="J2" s="6"/>
      <c r="K2" s="7"/>
    </row>
    <row r="3" ht="18.0" customHeight="1">
      <c r="B3" s="12" t="s">
        <v>178</v>
      </c>
      <c r="C3" s="11"/>
      <c r="D3" s="11"/>
      <c r="E3" s="11"/>
      <c r="F3" s="11"/>
      <c r="G3" s="11"/>
      <c r="H3" s="11"/>
      <c r="I3" s="11"/>
      <c r="J3" s="11"/>
      <c r="K3" s="10"/>
    </row>
    <row r="5" ht="21.75" customHeight="1">
      <c r="B5" s="48" t="s">
        <v>179</v>
      </c>
      <c r="D5" s="49" t="s">
        <v>174</v>
      </c>
      <c r="F5" s="48" t="s">
        <v>2</v>
      </c>
      <c r="H5" s="49" t="s">
        <v>125</v>
      </c>
    </row>
    <row r="7" ht="21.75" customHeight="1">
      <c r="B7" s="30" t="s">
        <v>31</v>
      </c>
      <c r="C7" s="30" t="s">
        <v>32</v>
      </c>
      <c r="D7" s="30" t="s">
        <v>16</v>
      </c>
      <c r="E7" s="30" t="s">
        <v>180</v>
      </c>
      <c r="F7" s="30" t="s">
        <v>18</v>
      </c>
      <c r="G7" s="30" t="s">
        <v>21</v>
      </c>
      <c r="H7" s="30" t="s">
        <v>181</v>
      </c>
      <c r="M7" s="55" t="s">
        <v>182</v>
      </c>
    </row>
    <row r="8" ht="19.5" customHeight="1">
      <c r="B8" s="31">
        <v>1.0</v>
      </c>
      <c r="C8" s="32" t="s">
        <v>36</v>
      </c>
      <c r="D8" s="33" t="s">
        <v>5</v>
      </c>
      <c r="E8" s="56">
        <f>N8</f>
        <v>64000</v>
      </c>
      <c r="F8" s="57" t="s">
        <v>183</v>
      </c>
      <c r="G8" s="58" t="str">
        <f>'BENCHMARKS-GOALS'!F6</f>
        <v/>
      </c>
      <c r="H8" s="59"/>
      <c r="M8" s="60" t="s">
        <v>5</v>
      </c>
      <c r="N8" s="60">
        <f>SUMIFS('RAW DATA INPUT'!D8:D25,'RAW DATA INPUT'!$B$8:$B$25,$D$5,'RAW DATA INPUT'!$C$8:$C$25,$H$5)</f>
        <v>64000</v>
      </c>
    </row>
    <row r="9" ht="19.5" customHeight="1">
      <c r="B9" s="31">
        <v>2.0</v>
      </c>
      <c r="C9" s="32" t="s">
        <v>36</v>
      </c>
      <c r="D9" s="33" t="s">
        <v>6</v>
      </c>
      <c r="E9" s="61">
        <f>IFERROR((N8-N53)/N53,0)</f>
        <v>0.03225806452</v>
      </c>
      <c r="F9" s="57" t="str">
        <f t="shared" ref="F9:F15" si="1">IF(IFERROR(IF(G9=0,1,E9/G9),1)&gt;=0.95,"A",IF(IFERROR(IF(G9=0,1,E9/G9),1)&gt;=0.85,"B",IF(IFERROR(IF(G9=0,1,E9/G9),1)&gt;=0.7,"C",IF(IFERROR(IF(G9=0,1,E9/G9),1)&gt;=0.55,"D","F"))))</f>
        <v>A</v>
      </c>
      <c r="G9" s="62">
        <f>'BENCHMARKS-GOALS'!F7</f>
        <v>0.03</v>
      </c>
      <c r="H9" s="63">
        <f t="shared" ref="H9:H45" si="2">E9-G9</f>
        <v>0.002258064516</v>
      </c>
      <c r="M9" s="60" t="s">
        <v>128</v>
      </c>
      <c r="N9" s="60">
        <f>SUMIFS('RAW DATA INPUT'!E8:E25,'RAW DATA INPUT'!$B$8:$B$25,$D$5,'RAW DATA INPUT'!$C$8:$C$25,$H$5)</f>
        <v>44800</v>
      </c>
    </row>
    <row r="10" ht="19.5" customHeight="1">
      <c r="B10" s="31">
        <v>3.0</v>
      </c>
      <c r="C10" s="32" t="s">
        <v>36</v>
      </c>
      <c r="D10" s="33" t="s">
        <v>41</v>
      </c>
      <c r="E10" s="64">
        <f>IFERROR(N8/(N47*N48),0)</f>
        <v>2.580645161</v>
      </c>
      <c r="F10" s="57" t="str">
        <f t="shared" si="1"/>
        <v>F</v>
      </c>
      <c r="G10" s="65">
        <f>'BENCHMARKS-GOALS'!F8</f>
        <v>12</v>
      </c>
      <c r="H10" s="66">
        <f t="shared" si="2"/>
        <v>-9.419354839</v>
      </c>
      <c r="M10" s="60" t="s">
        <v>129</v>
      </c>
      <c r="N10" s="60">
        <f>SUMIFS('RAW DATA INPUT'!F8:F25,'RAW DATA INPUT'!$B$8:$B$25,$D$5,'RAW DATA INPUT'!$C$8:$C$25,$H$5)</f>
        <v>19200</v>
      </c>
    </row>
    <row r="11" ht="19.5" customHeight="1">
      <c r="B11" s="31">
        <v>4.0</v>
      </c>
      <c r="C11" s="32" t="s">
        <v>36</v>
      </c>
      <c r="D11" s="33" t="s">
        <v>43</v>
      </c>
      <c r="E11" s="64">
        <f>IFERROR(N8/N18,0)</f>
        <v>17.2972973</v>
      </c>
      <c r="F11" s="57" t="str">
        <f t="shared" si="1"/>
        <v>A</v>
      </c>
      <c r="G11" s="65">
        <f>'BENCHMARKS-GOALS'!F9</f>
        <v>18</v>
      </c>
      <c r="H11" s="66">
        <f t="shared" si="2"/>
        <v>-0.7027027027</v>
      </c>
      <c r="M11" s="60" t="s">
        <v>130</v>
      </c>
      <c r="N11" s="60">
        <f>SUMIFS('RAW DATA INPUT'!G8:G25,'RAW DATA INPUT'!$B$8:$B$25,$D$5,'RAW DATA INPUT'!$C$8:$C$25,$H$5)</f>
        <v>39680</v>
      </c>
    </row>
    <row r="12" ht="19.5" customHeight="1">
      <c r="B12" s="31">
        <v>5.0</v>
      </c>
      <c r="C12" s="32" t="s">
        <v>45</v>
      </c>
      <c r="D12" s="33" t="s">
        <v>46</v>
      </c>
      <c r="E12" s="61">
        <f>IFERROR(N9/N8,0)</f>
        <v>0.7</v>
      </c>
      <c r="F12" s="57" t="str">
        <f t="shared" si="1"/>
        <v>A</v>
      </c>
      <c r="G12" s="62">
        <f>'BENCHMARKS-GOALS'!F10</f>
        <v>0.7</v>
      </c>
      <c r="H12" s="63">
        <f t="shared" si="2"/>
        <v>0</v>
      </c>
      <c r="M12" s="60" t="s">
        <v>131</v>
      </c>
      <c r="N12" s="60">
        <f>SUMIFS('RAW DATA INPUT'!H8:H25,'RAW DATA INPUT'!$B$8:$B$25,$D$5,'RAW DATA INPUT'!$C$8:$C$25,$H$5)</f>
        <v>24320</v>
      </c>
    </row>
    <row r="13" ht="19.5" customHeight="1">
      <c r="B13" s="31">
        <v>6.0</v>
      </c>
      <c r="C13" s="32" t="s">
        <v>45</v>
      </c>
      <c r="D13" s="33" t="s">
        <v>48</v>
      </c>
      <c r="E13" s="61">
        <f>IFERROR(N10/N8,0)</f>
        <v>0.3</v>
      </c>
      <c r="F13" s="57" t="str">
        <f t="shared" si="1"/>
        <v>A</v>
      </c>
      <c r="G13" s="62">
        <f>'BENCHMARKS-GOALS'!F11</f>
        <v>0.3</v>
      </c>
      <c r="H13" s="63">
        <f t="shared" si="2"/>
        <v>0</v>
      </c>
      <c r="M13" s="60" t="s">
        <v>132</v>
      </c>
      <c r="N13" s="60">
        <f>SUMIFS('RAW DATA INPUT'!I8:I25,'RAW DATA INPUT'!$B$8:$B$25,$D$5,'RAW DATA INPUT'!$C$8:$C$25,$H$5)</f>
        <v>19200</v>
      </c>
    </row>
    <row r="14" ht="19.5" customHeight="1">
      <c r="B14" s="31">
        <v>7.0</v>
      </c>
      <c r="C14" s="32" t="s">
        <v>45</v>
      </c>
      <c r="D14" s="33" t="s">
        <v>50</v>
      </c>
      <c r="E14" s="61">
        <f>IFERROR(N11/N8,0)</f>
        <v>0.62</v>
      </c>
      <c r="F14" s="57" t="str">
        <f t="shared" si="1"/>
        <v>A</v>
      </c>
      <c r="G14" s="62">
        <f>'BENCHMARKS-GOALS'!F12</f>
        <v>0.6</v>
      </c>
      <c r="H14" s="63">
        <f t="shared" si="2"/>
        <v>0.02</v>
      </c>
      <c r="M14" s="60" t="s">
        <v>133</v>
      </c>
      <c r="N14" s="60">
        <f>SUMIFS('RAW DATA INPUT'!J8:J25,'RAW DATA INPUT'!$B$8:$B$25,$D$5,'RAW DATA INPUT'!$C$8:$C$25,$H$5)</f>
        <v>6400</v>
      </c>
    </row>
    <row r="15" ht="19.5" customHeight="1">
      <c r="B15" s="31">
        <v>8.0</v>
      </c>
      <c r="C15" s="32" t="s">
        <v>45</v>
      </c>
      <c r="D15" s="33" t="s">
        <v>52</v>
      </c>
      <c r="E15" s="61">
        <f t="shared" ref="E15:E17" si="3">IFERROR(N12/N8,0)</f>
        <v>0.38</v>
      </c>
      <c r="F15" s="57" t="str">
        <f t="shared" si="1"/>
        <v>A</v>
      </c>
      <c r="G15" s="62">
        <f>'BENCHMARKS-GOALS'!F13</f>
        <v>0.4</v>
      </c>
      <c r="H15" s="63">
        <f t="shared" si="2"/>
        <v>-0.02</v>
      </c>
      <c r="M15" s="60" t="s">
        <v>134</v>
      </c>
      <c r="N15" s="60">
        <f>SUMIFS('RAW DATA INPUT'!K8:K25,'RAW DATA INPUT'!$B$8:$B$25,$D$5,'RAW DATA INPUT'!$C$8:$C$25,$H$5)</f>
        <v>16000</v>
      </c>
    </row>
    <row r="16" ht="19.5" customHeight="1">
      <c r="B16" s="31">
        <v>9.0</v>
      </c>
      <c r="C16" s="32" t="s">
        <v>54</v>
      </c>
      <c r="D16" s="33" t="s">
        <v>7</v>
      </c>
      <c r="E16" s="61">
        <f t="shared" si="3"/>
        <v>0.4285714286</v>
      </c>
      <c r="F16" s="57" t="str">
        <f t="shared" ref="F16:F18" si="4">IF(IFERROR(IF(E16=0,1,G16/E16),1)&gt;=0.95,"A",IF(IFERROR(IF(E16=0,1,G16/E16),1)&gt;=0.85,"B",IF(IFERROR(IF(E16=0,1,G16/E16),1)&gt;=0.7,"C",IF(IFERROR(IF(E16=0,1,G16/E16),1)&gt;=0.55,"D","F"))))</f>
        <v>C</v>
      </c>
      <c r="G16" s="62">
        <f>'BENCHMARKS-GOALS'!F14</f>
        <v>0.32</v>
      </c>
      <c r="H16" s="63">
        <f t="shared" si="2"/>
        <v>0.1085714286</v>
      </c>
      <c r="M16" s="60" t="s">
        <v>135</v>
      </c>
      <c r="N16" s="60">
        <f>SUMIFS('RAW DATA INPUT'!L8:L25,'RAW DATA INPUT'!$B$8:$B$25,$D$5,'RAW DATA INPUT'!$C$8:$C$25,$H$5)</f>
        <v>1143</v>
      </c>
    </row>
    <row r="17" ht="19.5" customHeight="1">
      <c r="B17" s="31">
        <v>10.0</v>
      </c>
      <c r="C17" s="32" t="s">
        <v>54</v>
      </c>
      <c r="D17" s="33" t="s">
        <v>23</v>
      </c>
      <c r="E17" s="61">
        <f t="shared" si="3"/>
        <v>0.3333333333</v>
      </c>
      <c r="F17" s="57" t="str">
        <f t="shared" si="4"/>
        <v>C</v>
      </c>
      <c r="G17" s="62">
        <f>'BENCHMARKS-GOALS'!F15</f>
        <v>0.27</v>
      </c>
      <c r="H17" s="63">
        <f t="shared" si="2"/>
        <v>0.06333333333</v>
      </c>
      <c r="M17" s="60" t="s">
        <v>136</v>
      </c>
      <c r="N17" s="60">
        <f>SUMIFS('RAW DATA INPUT'!M8:M25,'RAW DATA INPUT'!$B$8:$B$25,$D$5,'RAW DATA INPUT'!$C$8:$C$25,$H$5)</f>
        <v>7.1</v>
      </c>
    </row>
    <row r="18" ht="19.5" customHeight="1">
      <c r="B18" s="31">
        <v>11.0</v>
      </c>
      <c r="C18" s="32" t="s">
        <v>54</v>
      </c>
      <c r="D18" s="33" t="s">
        <v>9</v>
      </c>
      <c r="E18" s="61">
        <f>IFERROR((N13+N14+N15)/N8,0)</f>
        <v>0.65</v>
      </c>
      <c r="F18" s="57" t="str">
        <f t="shared" si="4"/>
        <v>B</v>
      </c>
      <c r="G18" s="62">
        <f>'BENCHMARKS-GOALS'!F16</f>
        <v>0.6</v>
      </c>
      <c r="H18" s="63">
        <f t="shared" si="2"/>
        <v>0.05</v>
      </c>
      <c r="M18" s="60" t="s">
        <v>137</v>
      </c>
      <c r="N18" s="60">
        <f>SUMIFS('RAW DATA INPUT'!N8:N25,'RAW DATA INPUT'!$B$8:$B$25,$D$5,'RAW DATA INPUT'!$C$8:$C$25,$H$5)</f>
        <v>3700</v>
      </c>
    </row>
    <row r="19" ht="19.5" customHeight="1">
      <c r="B19" s="31">
        <v>12.0</v>
      </c>
      <c r="C19" s="32" t="s">
        <v>54</v>
      </c>
      <c r="D19" s="33" t="s">
        <v>59</v>
      </c>
      <c r="E19" s="61">
        <f>IFERROR((N8-(N13+N14))/N8,0)</f>
        <v>0.6</v>
      </c>
      <c r="F19" s="57" t="str">
        <f>IF(IFERROR(IF(G19=0,1,E19/G19),1)&gt;=0.95,"A",IF(IFERROR(IF(G19=0,1,E19/G19),1)&gt;=0.85,"B",IF(IFERROR(IF(G19=0,1,E19/G19),1)&gt;=0.7,"C",IF(IFERROR(IF(G19=0,1,E19/G19),1)&gt;=0.55,"D","F"))))</f>
        <v>B</v>
      </c>
      <c r="G19" s="62">
        <f>'BENCHMARKS-GOALS'!F17</f>
        <v>0.7</v>
      </c>
      <c r="H19" s="63">
        <f t="shared" si="2"/>
        <v>-0.1</v>
      </c>
      <c r="M19" s="60" t="s">
        <v>138</v>
      </c>
      <c r="N19" s="60">
        <f>SUMIFS('RAW DATA INPUT'!O8:O25,'RAW DATA INPUT'!$B$8:$B$25,$D$5,'RAW DATA INPUT'!$C$8:$C$25,$H$5)</f>
        <v>3600</v>
      </c>
    </row>
    <row r="20" ht="19.5" customHeight="1">
      <c r="B20" s="31">
        <v>13.0</v>
      </c>
      <c r="C20" s="32" t="s">
        <v>54</v>
      </c>
      <c r="D20" s="33" t="s">
        <v>61</v>
      </c>
      <c r="E20" s="61">
        <f>IFERROR(N23/N9,0)</f>
        <v>0.009419642857</v>
      </c>
      <c r="F20" s="57" t="str">
        <f t="shared" ref="F20:F21" si="5">IF(IFERROR(IF(E20=0,1,G20/E20),1)&gt;=0.95,"A",IF(IFERROR(IF(E20=0,1,G20/E20),1)&gt;=0.85,"B",IF(IFERROR(IF(E20=0,1,G20/E20),1)&gt;=0.7,"C",IF(IFERROR(IF(E20=0,1,G20/E20),1)&gt;=0.55,"D","F"))))</f>
        <v>A</v>
      </c>
      <c r="G20" s="62">
        <f>'BENCHMARKS-GOALS'!F18</f>
        <v>0.02</v>
      </c>
      <c r="H20" s="63">
        <f t="shared" si="2"/>
        <v>-0.01058035714</v>
      </c>
      <c r="M20" s="60" t="s">
        <v>139</v>
      </c>
      <c r="N20" s="60">
        <f>SUMIFS('RAW DATA INPUT'!P8:P25,'RAW DATA INPUT'!$B$8:$B$25,$D$5,'RAW DATA INPUT'!$C$8:$C$25,$H$5)</f>
        <v>1224</v>
      </c>
    </row>
    <row r="21" ht="19.5" customHeight="1">
      <c r="B21" s="31">
        <v>14.0</v>
      </c>
      <c r="C21" s="32" t="s">
        <v>63</v>
      </c>
      <c r="D21" s="33" t="s">
        <v>64</v>
      </c>
      <c r="E21" s="61">
        <f>IFERROR(N15/N8,0)</f>
        <v>0.25</v>
      </c>
      <c r="F21" s="57" t="str">
        <f t="shared" si="5"/>
        <v>A</v>
      </c>
      <c r="G21" s="62">
        <f>'BENCHMARKS-GOALS'!F19</f>
        <v>0.27</v>
      </c>
      <c r="H21" s="63">
        <f t="shared" si="2"/>
        <v>-0.02</v>
      </c>
      <c r="M21" s="60" t="s">
        <v>140</v>
      </c>
      <c r="N21" s="60">
        <f>SUMIFS('RAW DATA INPUT'!Q8:Q25,'RAW DATA INPUT'!$B$8:$B$25,$D$5,'RAW DATA INPUT'!$C$8:$C$25,$H$5)</f>
        <v>17280</v>
      </c>
    </row>
    <row r="22" ht="19.5" customHeight="1">
      <c r="B22" s="31">
        <v>15.0</v>
      </c>
      <c r="C22" s="32" t="s">
        <v>63</v>
      </c>
      <c r="D22" s="33" t="s">
        <v>66</v>
      </c>
      <c r="E22" s="64">
        <f>IFERROR(N8/N16,0)</f>
        <v>55.99300087</v>
      </c>
      <c r="F22" s="57" t="str">
        <f t="shared" ref="F22:F23" si="6">IF(IFERROR(IF(G22=0,1,E22/G22),1)&gt;=0.95,"A",IF(IFERROR(IF(G22=0,1,E22/G22),1)&gt;=0.85,"B",IF(IFERROR(IF(G22=0,1,E22/G22),1)&gt;=0.7,"C",IF(IFERROR(IF(G22=0,1,E22/G22),1)&gt;=0.55,"D","F"))))</f>
        <v>B</v>
      </c>
      <c r="G22" s="65">
        <f>'BENCHMARKS-GOALS'!F20</f>
        <v>65</v>
      </c>
      <c r="H22" s="66">
        <f t="shared" si="2"/>
        <v>-9.006999125</v>
      </c>
      <c r="M22" s="60" t="s">
        <v>141</v>
      </c>
      <c r="N22" s="60">
        <f>SUMIFS('RAW DATA INPUT'!R8:R25,'RAW DATA INPUT'!$B$8:$B$25,$D$5,'RAW DATA INPUT'!$C$8:$C$25,$H$5)</f>
        <v>16320</v>
      </c>
    </row>
    <row r="23" ht="19.5" customHeight="1">
      <c r="B23" s="31">
        <v>16.0</v>
      </c>
      <c r="C23" s="32" t="s">
        <v>63</v>
      </c>
      <c r="D23" s="33" t="s">
        <v>68</v>
      </c>
      <c r="E23" s="56">
        <f>IFERROR(N8/N17,0)</f>
        <v>9014.084507</v>
      </c>
      <c r="F23" s="57" t="str">
        <f t="shared" si="6"/>
        <v>A</v>
      </c>
      <c r="G23" s="58">
        <f>'BENCHMARKS-GOALS'!F21</f>
        <v>4500</v>
      </c>
      <c r="H23" s="67">
        <f t="shared" si="2"/>
        <v>4514.084507</v>
      </c>
      <c r="M23" s="60" t="s">
        <v>142</v>
      </c>
      <c r="N23" s="60">
        <f>SUMIFS('RAW DATA INPUT'!S8:S25,'RAW DATA INPUT'!$B$8:$B$25,$D$5,'RAW DATA INPUT'!$C$8:$C$25,$H$5)</f>
        <v>422</v>
      </c>
    </row>
    <row r="24" ht="19.5" customHeight="1">
      <c r="B24" s="31">
        <v>17.0</v>
      </c>
      <c r="C24" s="32" t="s">
        <v>63</v>
      </c>
      <c r="D24" s="33" t="s">
        <v>28</v>
      </c>
      <c r="E24" s="61">
        <f>IFERROR((N49*12)/N50,0)</f>
        <v>2.608695652</v>
      </c>
      <c r="F24" s="57" t="str">
        <f>IF(IFERROR(IF(E24=0,1,G24/E24),1)&gt;=0.95,"A",IF(IFERROR(IF(E24=0,1,G24/E24),1)&gt;=0.85,"B",IF(IFERROR(IF(E24=0,1,G24/E24),1)&gt;=0.7,"C",IF(IFERROR(IF(E24=0,1,G24/E24),1)&gt;=0.55,"D","F"))))</f>
        <v>F</v>
      </c>
      <c r="G24" s="62">
        <f>'BENCHMARKS-GOALS'!F22</f>
        <v>0.75</v>
      </c>
      <c r="H24" s="63">
        <f t="shared" si="2"/>
        <v>1.858695652</v>
      </c>
      <c r="M24" s="60" t="s">
        <v>143</v>
      </c>
      <c r="N24" s="60">
        <f>SUMIFS('RAW DATA INPUT'!T8:T25,'RAW DATA INPUT'!$B$8:$B$25,$D$5,'RAW DATA INPUT'!$C$8:$C$25,$H$5)</f>
        <v>16483</v>
      </c>
    </row>
    <row r="25" ht="19.5" customHeight="1">
      <c r="B25" s="31">
        <v>18.0</v>
      </c>
      <c r="C25" s="32" t="s">
        <v>71</v>
      </c>
      <c r="D25" s="33" t="s">
        <v>24</v>
      </c>
      <c r="E25" s="68">
        <f>IFERROR((N13+N14)/((N21+N22)/2),0)</f>
        <v>1.523809524</v>
      </c>
      <c r="F25" s="57" t="str">
        <f>IF(IFERROR(IF(G25=0,1,E25/G25),1)&gt;=0.95,"A",IF(IFERROR(IF(G25=0,1,E25/G25),1)&gt;=0.85,"B",IF(IFERROR(IF(G25=0,1,E25/G25),1)&gt;=0.7,"C",IF(IFERROR(IF(G25=0,1,E25/G25),1)&gt;=0.55,"D","F"))))</f>
        <v>F</v>
      </c>
      <c r="G25" s="69">
        <f>'BENCHMARKS-GOALS'!F23</f>
        <v>10</v>
      </c>
      <c r="H25" s="70">
        <f t="shared" si="2"/>
        <v>-8.476190476</v>
      </c>
      <c r="M25" s="60" t="s">
        <v>144</v>
      </c>
      <c r="N25" s="60">
        <f>SUMIFS('RAW DATA INPUT'!U8:U25,'RAW DATA INPUT'!$B$8:$B$25,$D$5,'RAW DATA INPUT'!$C$8:$C$25,$H$5)</f>
        <v>16320</v>
      </c>
    </row>
    <row r="26" ht="19.5" customHeight="1">
      <c r="B26" s="31">
        <v>19.0</v>
      </c>
      <c r="C26" s="32" t="s">
        <v>71</v>
      </c>
      <c r="D26" s="33" t="s">
        <v>73</v>
      </c>
      <c r="E26" s="68">
        <f>IFERROR(((N21+N22)/2)/((N13+N14)/30),0)</f>
        <v>19.6875</v>
      </c>
      <c r="F26" s="57" t="str">
        <f t="shared" ref="F26:F28" si="7">IF(IFERROR(IF(E26=0,1,G26/E26),1)&gt;=0.95,"A",IF(IFERROR(IF(E26=0,1,G26/E26),1)&gt;=0.85,"B",IF(IFERROR(IF(E26=0,1,G26/E26),1)&gt;=0.7,"C",IF(IFERROR(IF(E26=0,1,G26/E26),1)&gt;=0.55,"D","F"))))</f>
        <v>F</v>
      </c>
      <c r="G26" s="69">
        <f>'BENCHMARKS-GOALS'!F24</f>
        <v>5</v>
      </c>
      <c r="H26" s="70">
        <f t="shared" si="2"/>
        <v>14.6875</v>
      </c>
      <c r="M26" s="60" t="s">
        <v>145</v>
      </c>
      <c r="N26" s="60">
        <f>SUMIFS('RAW DATA INPUT'!V8:V25,'RAW DATA INPUT'!$B$8:$B$25,$D$5,'RAW DATA INPUT'!$C$8:$C$25,$H$5)</f>
        <v>11520</v>
      </c>
    </row>
    <row r="27" ht="19.5" customHeight="1">
      <c r="B27" s="31">
        <v>20.0</v>
      </c>
      <c r="C27" s="32" t="s">
        <v>71</v>
      </c>
      <c r="D27" s="33" t="s">
        <v>75</v>
      </c>
      <c r="E27" s="56">
        <f>N24-N25</f>
        <v>163</v>
      </c>
      <c r="F27" s="57" t="str">
        <f t="shared" si="7"/>
        <v>F</v>
      </c>
      <c r="G27" s="58">
        <f>'BENCHMARKS-GOALS'!F25</f>
        <v>0</v>
      </c>
      <c r="H27" s="67">
        <f t="shared" si="2"/>
        <v>163</v>
      </c>
      <c r="M27" s="60" t="s">
        <v>146</v>
      </c>
      <c r="N27" s="60">
        <f>SUMIFS('RAW DATA INPUT'!W8:W25,'RAW DATA INPUT'!$B$8:$B$25,$D$5,'RAW DATA INPUT'!$C$8:$C$25,$H$5)</f>
        <v>2765</v>
      </c>
    </row>
    <row r="28" ht="19.5" customHeight="1">
      <c r="B28" s="31">
        <v>21.0</v>
      </c>
      <c r="C28" s="32" t="s">
        <v>71</v>
      </c>
      <c r="D28" s="33" t="s">
        <v>77</v>
      </c>
      <c r="E28" s="61">
        <f>IFERROR(N23/(N13+N14),0)</f>
        <v>0.016484375</v>
      </c>
      <c r="F28" s="57" t="str">
        <f t="shared" si="7"/>
        <v>A</v>
      </c>
      <c r="G28" s="62">
        <f>'BENCHMARKS-GOALS'!F26</f>
        <v>0.025</v>
      </c>
      <c r="H28" s="63">
        <f t="shared" si="2"/>
        <v>-0.008515625</v>
      </c>
      <c r="M28" s="60" t="s">
        <v>91</v>
      </c>
      <c r="N28" s="60">
        <f>SUMIFS('RAW DATA INPUT'!X8:X25,'RAW DATA INPUT'!$B$8:$B$25,$D$5,'RAW DATA INPUT'!$C$8:$C$25,$H$5)</f>
        <v>33</v>
      </c>
    </row>
    <row r="29" ht="19.5" customHeight="1">
      <c r="B29" s="31">
        <v>22.0</v>
      </c>
      <c r="C29" s="32" t="s">
        <v>79</v>
      </c>
      <c r="D29" s="33" t="s">
        <v>11</v>
      </c>
      <c r="E29" s="61">
        <f>IFERROR(N38/N37,0)</f>
        <v>0.86</v>
      </c>
      <c r="F29" s="57" t="str">
        <f t="shared" ref="F29:F32" si="8">IF(IFERROR(IF(G29=0,1,E29/G29),1)&gt;=0.95,"A",IF(IFERROR(IF(G29=0,1,E29/G29),1)&gt;=0.85,"B",IF(IFERROR(IF(G29=0,1,E29/G29),1)&gt;=0.7,"C",IF(IFERROR(IF(G29=0,1,E29/G29),1)&gt;=0.55,"D","F"))))</f>
        <v>A</v>
      </c>
      <c r="G29" s="62">
        <f>'BENCHMARKS-GOALS'!F27</f>
        <v>0.85</v>
      </c>
      <c r="H29" s="63">
        <f t="shared" si="2"/>
        <v>0.01</v>
      </c>
      <c r="M29" s="60" t="s">
        <v>147</v>
      </c>
      <c r="N29" s="60">
        <f>SUMIFS('RAW DATA INPUT'!Y8:Y25,'RAW DATA INPUT'!$B$8:$B$25,$D$5,'RAW DATA INPUT'!$C$8:$C$25,$H$5)</f>
        <v>0.829</v>
      </c>
    </row>
    <row r="30" ht="19.5" customHeight="1">
      <c r="B30" s="31">
        <v>23.0</v>
      </c>
      <c r="C30" s="32" t="s">
        <v>79</v>
      </c>
      <c r="D30" s="33" t="s">
        <v>81</v>
      </c>
      <c r="E30" s="71">
        <f>(N39-N40)*100</f>
        <v>36.3</v>
      </c>
      <c r="F30" s="57" t="str">
        <f t="shared" si="8"/>
        <v>B</v>
      </c>
      <c r="G30" s="72">
        <f>'BENCHMARKS-GOALS'!F28</f>
        <v>40</v>
      </c>
      <c r="H30" s="73">
        <f t="shared" si="2"/>
        <v>-3.7</v>
      </c>
      <c r="M30" s="60" t="s">
        <v>148</v>
      </c>
      <c r="N30" s="60">
        <f>SUMIFS('RAW DATA INPUT'!Z8:Z25,'RAW DATA INPUT'!$B$8:$B$25,$D$5,'RAW DATA INPUT'!$C$8:$C$25,$H$5)</f>
        <v>1600</v>
      </c>
    </row>
    <row r="31" ht="19.5" customHeight="1">
      <c r="B31" s="31">
        <v>24.0</v>
      </c>
      <c r="C31" s="32" t="s">
        <v>79</v>
      </c>
      <c r="D31" s="33" t="s">
        <v>12</v>
      </c>
      <c r="E31" s="61">
        <f>IFERROR(N20/N19,0)</f>
        <v>0.34</v>
      </c>
      <c r="F31" s="57" t="str">
        <f t="shared" si="8"/>
        <v>A</v>
      </c>
      <c r="G31" s="62">
        <f>'BENCHMARKS-GOALS'!F29</f>
        <v>0.35</v>
      </c>
      <c r="H31" s="63">
        <f t="shared" si="2"/>
        <v>-0.01</v>
      </c>
      <c r="M31" s="60" t="s">
        <v>149</v>
      </c>
      <c r="N31" s="60">
        <f>SUMIFS('RAW DATA INPUT'!AA8:AA25,'RAW DATA INPUT'!$B$8:$B$25,$D$5,'RAW DATA INPUT'!$C$8:$C$25,$H$5)</f>
        <v>3840</v>
      </c>
    </row>
    <row r="32" ht="19.5" customHeight="1">
      <c r="B32" s="31">
        <v>25.0</v>
      </c>
      <c r="C32" s="32" t="s">
        <v>79</v>
      </c>
      <c r="D32" s="33" t="s">
        <v>84</v>
      </c>
      <c r="E32" s="68">
        <f t="shared" ref="E32:E33" si="9">N41</f>
        <v>4.4</v>
      </c>
      <c r="F32" s="57" t="str">
        <f t="shared" si="8"/>
        <v>A</v>
      </c>
      <c r="G32" s="69">
        <f>'BENCHMARKS-GOALS'!F30</f>
        <v>4.3</v>
      </c>
      <c r="H32" s="70">
        <f t="shared" si="2"/>
        <v>0.1</v>
      </c>
      <c r="M32" s="60" t="s">
        <v>150</v>
      </c>
      <c r="N32" s="60">
        <f>SUMIFS('RAW DATA INPUT'!AB8:AB25,'RAW DATA INPUT'!$B$8:$B$25,$D$5,'RAW DATA INPUT'!$C$8:$C$25,$H$5)</f>
        <v>5000</v>
      </c>
    </row>
    <row r="33" ht="19.5" customHeight="1">
      <c r="B33" s="31">
        <v>26.0</v>
      </c>
      <c r="C33" s="32" t="s">
        <v>79</v>
      </c>
      <c r="D33" s="33" t="s">
        <v>86</v>
      </c>
      <c r="E33" s="71">
        <f t="shared" si="9"/>
        <v>4</v>
      </c>
      <c r="F33" s="57" t="str">
        <f>IF(IFERROR(IF(E33=0,1,G33/E33),1)&gt;=0.95,"A",IF(IFERROR(IF(E33=0,1,G33/E33),1)&gt;=0.85,"B",IF(IFERROR(IF(E33=0,1,G33/E33),1)&gt;=0.7,"C",IF(IFERROR(IF(E33=0,1,G33/E33),1)&gt;=0.55,"D","F"))))</f>
        <v>A</v>
      </c>
      <c r="G33" s="72">
        <f>'BENCHMARKS-GOALS'!F31</f>
        <v>5</v>
      </c>
      <c r="H33" s="73">
        <f t="shared" si="2"/>
        <v>-1</v>
      </c>
      <c r="M33" s="60" t="s">
        <v>151</v>
      </c>
      <c r="N33" s="60">
        <f>SUMIFS('RAW DATA INPUT'!AC8:AC25,'RAW DATA INPUT'!$B$8:$B$25,$D$5,'RAW DATA INPUT'!$C$8:$C$25,$H$5)</f>
        <v>1600</v>
      </c>
    </row>
    <row r="34" ht="19.5" customHeight="1">
      <c r="B34" s="31">
        <v>27.0</v>
      </c>
      <c r="C34" s="32" t="s">
        <v>88</v>
      </c>
      <c r="D34" s="33" t="s">
        <v>25</v>
      </c>
      <c r="E34" s="61">
        <f>IFERROR(N26/N8,0)</f>
        <v>0.18</v>
      </c>
      <c r="F34" s="57" t="str">
        <f>IF(IFERROR(IF(G34=0,1,E34/G34),1)&gt;=0.95,"A",IF(IFERROR(IF(G34=0,1,E34/G34),1)&gt;=0.85,"B",IF(IFERROR(IF(G34=0,1,E34/G34),1)&gt;=0.7,"C",IF(IFERROR(IF(G34=0,1,E34/G34),1)&gt;=0.55,"D","F"))))</f>
        <v>B</v>
      </c>
      <c r="G34" s="62">
        <f>'BENCHMARKS-GOALS'!F32</f>
        <v>0.2</v>
      </c>
      <c r="H34" s="63">
        <f t="shared" si="2"/>
        <v>-0.02</v>
      </c>
      <c r="M34" s="60" t="s">
        <v>152</v>
      </c>
      <c r="N34" s="60">
        <f>SUMIFS('RAW DATA INPUT'!AD8:AD25,'RAW DATA INPUT'!$B$8:$B$25,$D$5,'RAW DATA INPUT'!$C$8:$C$25,$H$5)</f>
        <v>75</v>
      </c>
    </row>
    <row r="35" ht="19.5" customHeight="1">
      <c r="B35" s="31">
        <v>28.0</v>
      </c>
      <c r="C35" s="32" t="s">
        <v>88</v>
      </c>
      <c r="D35" s="33" t="s">
        <v>26</v>
      </c>
      <c r="E35" s="61">
        <f>IFERROR(N27/N26,0)</f>
        <v>0.2400173611</v>
      </c>
      <c r="F35" s="57" t="str">
        <f t="shared" ref="F35:F36" si="10">IF(IFERROR(IF(E35=0,1,G35/E35),1)&gt;=0.95,"A",IF(IFERROR(IF(E35=0,1,G35/E35),1)&gt;=0.85,"B",IF(IFERROR(IF(E35=0,1,G35/E35),1)&gt;=0.7,"C",IF(IFERROR(IF(E35=0,1,G35/E35),1)&gt;=0.55,"D","F"))))</f>
        <v>A</v>
      </c>
      <c r="G35" s="62">
        <f>'BENCHMARKS-GOALS'!F33</f>
        <v>0.25</v>
      </c>
      <c r="H35" s="63">
        <f t="shared" si="2"/>
        <v>-0.009982638889</v>
      </c>
      <c r="M35" s="60" t="s">
        <v>153</v>
      </c>
      <c r="N35" s="60">
        <f>SUMIFS('RAW DATA INPUT'!AE8:AE25,'RAW DATA INPUT'!$B$8:$B$25,$D$5,'RAW DATA INPUT'!$C$8:$C$25,$H$5)</f>
        <v>8000</v>
      </c>
    </row>
    <row r="36" ht="19.5" customHeight="1">
      <c r="B36" s="31">
        <v>29.0</v>
      </c>
      <c r="C36" s="32" t="s">
        <v>88</v>
      </c>
      <c r="D36" s="33" t="s">
        <v>91</v>
      </c>
      <c r="E36" s="68">
        <f t="shared" ref="E36:E37" si="11">N28</f>
        <v>33</v>
      </c>
      <c r="F36" s="57" t="str">
        <f t="shared" si="10"/>
        <v>A</v>
      </c>
      <c r="G36" s="69">
        <f>'BENCHMARKS-GOALS'!F34</f>
        <v>32</v>
      </c>
      <c r="H36" s="70">
        <f t="shared" si="2"/>
        <v>1</v>
      </c>
      <c r="M36" s="60" t="s">
        <v>154</v>
      </c>
      <c r="N36" s="60">
        <f>SUMIFS('RAW DATA INPUT'!AF8:AF25,'RAW DATA INPUT'!$B$8:$B$25,$D$5,'RAW DATA INPUT'!$C$8:$C$25,$H$5)</f>
        <v>224</v>
      </c>
    </row>
    <row r="37" ht="19.5" customHeight="1">
      <c r="B37" s="31">
        <v>30.0</v>
      </c>
      <c r="C37" s="32" t="s">
        <v>88</v>
      </c>
      <c r="D37" s="33" t="s">
        <v>93</v>
      </c>
      <c r="E37" s="61">
        <f t="shared" si="11"/>
        <v>0.829</v>
      </c>
      <c r="F37" s="57" t="str">
        <f t="shared" ref="F37:F44" si="12">IF(IFERROR(IF(G37=0,1,E37/G37),1)&gt;=0.95,"A",IF(IFERROR(IF(G37=0,1,E37/G37),1)&gt;=0.85,"B",IF(IFERROR(IF(G37=0,1,E37/G37),1)&gt;=0.7,"C",IF(IFERROR(IF(G37=0,1,E37/G37),1)&gt;=0.55,"D","F"))))</f>
        <v>B</v>
      </c>
      <c r="G37" s="62">
        <f>'BENCHMARKS-GOALS'!F35</f>
        <v>0.9</v>
      </c>
      <c r="H37" s="63">
        <f t="shared" si="2"/>
        <v>-0.071</v>
      </c>
      <c r="M37" s="60" t="s">
        <v>155</v>
      </c>
      <c r="N37" s="60">
        <f>SUMIFS('RAW DATA INPUT'!AG8:AG25,'RAW DATA INPUT'!$B$8:$B$25,$D$5,'RAW DATA INPUT'!$C$8:$C$25,$H$5)</f>
        <v>200</v>
      </c>
    </row>
    <row r="38" ht="19.5" customHeight="1">
      <c r="B38" s="31">
        <v>31.0</v>
      </c>
      <c r="C38" s="32" t="s">
        <v>95</v>
      </c>
      <c r="D38" s="33" t="s">
        <v>27</v>
      </c>
      <c r="E38" s="61">
        <f>IFERROR((N31-N30)/N30,0)</f>
        <v>1.4</v>
      </c>
      <c r="F38" s="57" t="str">
        <f t="shared" si="12"/>
        <v>B</v>
      </c>
      <c r="G38" s="62">
        <f>'BENCHMARKS-GOALS'!F36</f>
        <v>1.5</v>
      </c>
      <c r="H38" s="63">
        <f t="shared" si="2"/>
        <v>-0.1</v>
      </c>
      <c r="M38" s="60" t="s">
        <v>156</v>
      </c>
      <c r="N38" s="60">
        <f>SUMIFS('RAW DATA INPUT'!AH8:AH25,'RAW DATA INPUT'!$B$8:$B$25,$D$5,'RAW DATA INPUT'!$C$8:$C$25,$H$5)</f>
        <v>172</v>
      </c>
    </row>
    <row r="39" ht="19.5" customHeight="1">
      <c r="B39" s="31">
        <v>32.0</v>
      </c>
      <c r="C39" s="32" t="s">
        <v>95</v>
      </c>
      <c r="D39" s="33" t="s">
        <v>97</v>
      </c>
      <c r="E39" s="61">
        <f>IFERROR(N33/N32,0)</f>
        <v>0.32</v>
      </c>
      <c r="F39" s="57" t="str">
        <f t="shared" si="12"/>
        <v>A</v>
      </c>
      <c r="G39" s="62">
        <f>'BENCHMARKS-GOALS'!F37</f>
        <v>0.32</v>
      </c>
      <c r="H39" s="63">
        <f t="shared" si="2"/>
        <v>0</v>
      </c>
      <c r="M39" s="60" t="s">
        <v>157</v>
      </c>
      <c r="N39" s="60">
        <f>SUMIFS('RAW DATA INPUT'!AI8:AI25,'RAW DATA INPUT'!$B$8:$B$25,$D$5,'RAW DATA INPUT'!$C$8:$C$25,$H$5)</f>
        <v>0.508</v>
      </c>
    </row>
    <row r="40" ht="19.5" customHeight="1">
      <c r="B40" s="31">
        <v>33.0</v>
      </c>
      <c r="C40" s="32" t="s">
        <v>95</v>
      </c>
      <c r="D40" s="33" t="s">
        <v>99</v>
      </c>
      <c r="E40" s="61">
        <f>IFERROR(N34/N32,0)</f>
        <v>0.015</v>
      </c>
      <c r="F40" s="57" t="str">
        <f t="shared" si="12"/>
        <v>A</v>
      </c>
      <c r="G40" s="62">
        <f>'BENCHMARKS-GOALS'!F38</f>
        <v>0.015</v>
      </c>
      <c r="H40" s="63">
        <f t="shared" si="2"/>
        <v>0</v>
      </c>
      <c r="M40" s="60" t="s">
        <v>158</v>
      </c>
      <c r="N40" s="60">
        <f>SUMIFS('RAW DATA INPUT'!AJ8:AJ25,'RAW DATA INPUT'!$B$8:$B$25,$D$5,'RAW DATA INPUT'!$C$8:$C$25,$H$5)</f>
        <v>0.145</v>
      </c>
    </row>
    <row r="41" ht="19.5" customHeight="1">
      <c r="B41" s="31">
        <v>34.0</v>
      </c>
      <c r="C41" s="32" t="s">
        <v>95</v>
      </c>
      <c r="D41" s="33" t="s">
        <v>101</v>
      </c>
      <c r="E41" s="61">
        <f>IFERROR(N36/N35,0)</f>
        <v>0.028</v>
      </c>
      <c r="F41" s="57" t="str">
        <f t="shared" si="12"/>
        <v>B</v>
      </c>
      <c r="G41" s="62">
        <f>'BENCHMARKS-GOALS'!F39</f>
        <v>0.03</v>
      </c>
      <c r="H41" s="63">
        <f t="shared" si="2"/>
        <v>-0.002</v>
      </c>
      <c r="M41" s="60" t="s">
        <v>159</v>
      </c>
      <c r="N41" s="60">
        <f>SUMIFS('RAW DATA INPUT'!AK8:AK25,'RAW DATA INPUT'!$B$8:$B$25,$D$5,'RAW DATA INPUT'!$C$8:$C$25,$H$5)</f>
        <v>4.4</v>
      </c>
    </row>
    <row r="42" ht="19.5" customHeight="1">
      <c r="B42" s="31">
        <v>35.0</v>
      </c>
      <c r="C42" s="32" t="s">
        <v>103</v>
      </c>
      <c r="D42" s="33" t="s">
        <v>10</v>
      </c>
      <c r="E42" s="61">
        <f>IFERROR(N43/N8,0)</f>
        <v>0.05</v>
      </c>
      <c r="F42" s="57" t="str">
        <f t="shared" si="12"/>
        <v>C</v>
      </c>
      <c r="G42" s="62">
        <f>'BENCHMARKS-GOALS'!F40</f>
        <v>0.06</v>
      </c>
      <c r="H42" s="63">
        <f t="shared" si="2"/>
        <v>-0.01</v>
      </c>
      <c r="M42" s="60" t="s">
        <v>160</v>
      </c>
      <c r="N42" s="60">
        <f>SUMIFS('RAW DATA INPUT'!AL8:AL25,'RAW DATA INPUT'!$B$8:$B$25,$D$5,'RAW DATA INPUT'!$C$8:$C$25,$H$5)</f>
        <v>4</v>
      </c>
    </row>
    <row r="43" ht="19.5" customHeight="1">
      <c r="B43" s="31">
        <v>36.0</v>
      </c>
      <c r="C43" s="32" t="s">
        <v>103</v>
      </c>
      <c r="D43" s="33" t="s">
        <v>105</v>
      </c>
      <c r="E43" s="56">
        <f>IFERROR((N8*12)/N46,0)</f>
        <v>349.0909091</v>
      </c>
      <c r="F43" s="57" t="str">
        <f t="shared" si="12"/>
        <v>A</v>
      </c>
      <c r="G43" s="58">
        <f>'BENCHMARKS-GOALS'!F41</f>
        <v>200</v>
      </c>
      <c r="H43" s="67">
        <f t="shared" si="2"/>
        <v>149.0909091</v>
      </c>
      <c r="M43" s="60" t="s">
        <v>161</v>
      </c>
      <c r="N43" s="60">
        <f>SUMIFS('RAW DATA INPUT'!AM8:AM25,'RAW DATA INPUT'!$B$8:$B$25,$D$5,'RAW DATA INPUT'!$C$8:$C$25,$H$5)</f>
        <v>3200</v>
      </c>
    </row>
    <row r="44" ht="19.5" customHeight="1">
      <c r="B44" s="31">
        <v>37.0</v>
      </c>
      <c r="C44" s="32" t="s">
        <v>103</v>
      </c>
      <c r="D44" s="33" t="s">
        <v>107</v>
      </c>
      <c r="E44" s="68">
        <f>IFERROR(N18/N47,0)</f>
        <v>46.25</v>
      </c>
      <c r="F44" s="57" t="str">
        <f t="shared" si="12"/>
        <v>A</v>
      </c>
      <c r="G44" s="69">
        <f>'BENCHMARKS-GOALS'!F42</f>
        <v>1.8</v>
      </c>
      <c r="H44" s="70">
        <f t="shared" si="2"/>
        <v>44.45</v>
      </c>
      <c r="M44" s="60" t="s">
        <v>162</v>
      </c>
      <c r="N44" s="60">
        <f>SUMIFS('RAW DATA INPUT'!AN8:AN25,'RAW DATA INPUT'!$B$8:$B$25,$D$5,'RAW DATA INPUT'!$C$8:$C$25,$H$5)</f>
        <v>11520</v>
      </c>
    </row>
    <row r="45" ht="19.5" customHeight="1">
      <c r="B45" s="31">
        <v>38.0</v>
      </c>
      <c r="C45" s="32" t="s">
        <v>103</v>
      </c>
      <c r="D45" s="33" t="s">
        <v>109</v>
      </c>
      <c r="E45" s="56">
        <f>IFERROR(N44/(1-(N45/N8)),0)</f>
        <v>32914.28571</v>
      </c>
      <c r="F45" s="57" t="str">
        <f>IF(IFERROR(IF(E45=0,1,G45/E45),1)&gt;=0.95,"A",IF(IFERROR(IF(E45=0,1,G45/E45),1)&gt;=0.85,"B",IF(IFERROR(IF(E45=0,1,G45/E45),1)&gt;=0.7,"C",IF(IFERROR(IF(E45=0,1,G45/E45),1)&gt;=0.55,"D","F"))))</f>
        <v>A</v>
      </c>
      <c r="G45" s="58">
        <f>'BENCHMARKS-GOALS'!F43</f>
        <v>40000</v>
      </c>
      <c r="H45" s="67">
        <f t="shared" si="2"/>
        <v>-7085.714286</v>
      </c>
      <c r="M45" s="60" t="s">
        <v>163</v>
      </c>
      <c r="N45" s="60">
        <f>SUMIFS('RAW DATA INPUT'!AO8:AO25,'RAW DATA INPUT'!$B$8:$B$25,$D$5,'RAW DATA INPUT'!$C$8:$C$25,$H$5)</f>
        <v>41600</v>
      </c>
    </row>
    <row r="46" ht="15.75" customHeight="1">
      <c r="M46" s="60" t="s">
        <v>164</v>
      </c>
      <c r="N46" s="60">
        <f>SUMIFS('RAW DATA INPUT'!AP8:AP25,'RAW DATA INPUT'!$B$8:$B$25,$D$5,'RAW DATA INPUT'!$C$8:$C$25,$H$5)</f>
        <v>2200</v>
      </c>
    </row>
    <row r="47" ht="15.75" customHeight="1">
      <c r="M47" s="60" t="s">
        <v>165</v>
      </c>
      <c r="N47" s="60">
        <f>SUMIFS('RAW DATA INPUT'!AQ8:AQ25,'RAW DATA INPUT'!$B$8:$B$25,$D$5,'RAW DATA INPUT'!$C$8:$C$25,$H$5)</f>
        <v>80</v>
      </c>
    </row>
    <row r="48" ht="15.75" customHeight="1">
      <c r="M48" s="60" t="s">
        <v>166</v>
      </c>
      <c r="N48" s="60">
        <f>SUMIFS('RAW DATA INPUT'!AR8:AR25,'RAW DATA INPUT'!$B$8:$B$25,$D$5,'RAW DATA INPUT'!$C$8:$C$25,$H$5)</f>
        <v>310</v>
      </c>
    </row>
    <row r="49" ht="15.75" customHeight="1">
      <c r="M49" s="60" t="s">
        <v>167</v>
      </c>
      <c r="N49" s="60">
        <f>SUMIFS('RAW DATA INPUT'!AS8:AS25,'RAW DATA INPUT'!$B$8:$B$25,$D$5,'RAW DATA INPUT'!$C$8:$C$25,$H$5)</f>
        <v>2</v>
      </c>
    </row>
    <row r="50" ht="15.75" customHeight="1">
      <c r="M50" s="60" t="s">
        <v>168</v>
      </c>
      <c r="N50" s="60">
        <f>SUMIFS('RAW DATA INPUT'!AT8:AT25,'RAW DATA INPUT'!$B$8:$B$25,$D$5,'RAW DATA INPUT'!$C$8:$C$25,$H$5)</f>
        <v>9.2</v>
      </c>
    </row>
    <row r="51" ht="15.75" customHeight="1"/>
    <row r="52" ht="15.75" customHeight="1"/>
    <row r="53" ht="15.75" customHeight="1">
      <c r="M53" s="60" t="s">
        <v>184</v>
      </c>
      <c r="N53" s="60">
        <f>SUMIFS('RAW DATA INPUT'!D8:D25,'RAW DATA INPUT'!$B$8:$B$25,TEXT(EDATE(DATEVALUE($D$5&amp;"-01"),-1),"YYYY-MM"),'RAW DATA INPUT'!$C$8:$C$25,$H$5)</f>
        <v>62000</v>
      </c>
    </row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2">
    <mergeCell ref="B1:K2"/>
    <mergeCell ref="B3:K3"/>
  </mergeCells>
  <conditionalFormatting sqref="F8:F45">
    <cfRule type="cellIs" dxfId="0" priority="1" operator="equal">
      <formula>"A"</formula>
    </cfRule>
  </conditionalFormatting>
  <conditionalFormatting sqref="F8:F45">
    <cfRule type="cellIs" dxfId="0" priority="2" operator="equal">
      <formula>"B"</formula>
    </cfRule>
  </conditionalFormatting>
  <conditionalFormatting sqref="F8:F45">
    <cfRule type="cellIs" dxfId="1" priority="3" operator="equal">
      <formula>"C"</formula>
    </cfRule>
  </conditionalFormatting>
  <conditionalFormatting sqref="F8:F45">
    <cfRule type="cellIs" dxfId="1" priority="4" operator="equal">
      <formula>"D"</formula>
    </cfRule>
  </conditionalFormatting>
  <conditionalFormatting sqref="F8:F45">
    <cfRule type="cellIs" dxfId="2" priority="5" operator="equal">
      <formula>"F"</formula>
    </cfRule>
  </conditionalFormatting>
  <dataValidations>
    <dataValidation type="list" allowBlank="1" sqref="D5">
      <formula1>"2026-01,2026-02,2026-03,2026-04,2026-05,2026-06"</formula1>
    </dataValidation>
    <dataValidation type="list" allowBlank="1" sqref="H5">
      <formula1>"Main Street (Flagship),Downtown Branch,Riverside Branch"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26.0"/>
    <col customWidth="1" min="3" max="3" width="11.0"/>
    <col customWidth="1" min="4" max="4" width="23.71"/>
    <col customWidth="1" min="5" max="8" width="11.0"/>
    <col customWidth="1" min="9" max="26" width="8.71"/>
  </cols>
  <sheetData>
    <row r="1" ht="24.0" customHeight="1">
      <c r="B1" s="4" t="s">
        <v>185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3"/>
    </row>
    <row r="2" ht="19.5" customHeight="1">
      <c r="B2" s="5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7"/>
    </row>
    <row r="3" ht="18.0" customHeight="1">
      <c r="B3" s="12" t="s">
        <v>186</v>
      </c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0"/>
    </row>
    <row r="5">
      <c r="B5" s="48" t="s">
        <v>2</v>
      </c>
      <c r="D5" s="49" t="s">
        <v>125</v>
      </c>
    </row>
    <row r="7" ht="19.5" customHeight="1">
      <c r="B7" s="30" t="s">
        <v>16</v>
      </c>
      <c r="C7" s="30" t="s">
        <v>169</v>
      </c>
      <c r="D7" s="30" t="s">
        <v>170</v>
      </c>
      <c r="E7" s="30" t="s">
        <v>171</v>
      </c>
      <c r="F7" s="30" t="s">
        <v>172</v>
      </c>
      <c r="G7" s="30" t="s">
        <v>173</v>
      </c>
      <c r="H7" s="30" t="s">
        <v>174</v>
      </c>
    </row>
    <row r="8" ht="19.5" customHeight="1">
      <c r="B8" s="74" t="s">
        <v>5</v>
      </c>
      <c r="C8" s="67">
        <f>SUMIFS('RAW DATA INPUT'!D8:D25,'RAW DATA INPUT'!$B$8:$B$25,"2026-01",'RAW DATA INPUT'!$C$8:$C$25,$D$5)</f>
        <v>50000</v>
      </c>
      <c r="D8" s="67">
        <f>SUMIFS('RAW DATA INPUT'!D8:D25,'RAW DATA INPUT'!$B$8:$B$25,"2026-02",'RAW DATA INPUT'!$C$8:$C$25,$D$5)</f>
        <v>55000</v>
      </c>
      <c r="E8" s="67">
        <f>SUMIFS('RAW DATA INPUT'!D8:D25,'RAW DATA INPUT'!$B$8:$B$25,"2026-03",'RAW DATA INPUT'!$C$8:$C$25,$D$5)</f>
        <v>60000</v>
      </c>
      <c r="F8" s="67">
        <f>SUMIFS('RAW DATA INPUT'!D8:D25,'RAW DATA INPUT'!$B$8:$B$25,"2026-04",'RAW DATA INPUT'!$C$8:$C$25,$D$5)</f>
        <v>58000</v>
      </c>
      <c r="G8" s="67">
        <f>SUMIFS('RAW DATA INPUT'!D8:D25,'RAW DATA INPUT'!$B$8:$B$25,"2026-05",'RAW DATA INPUT'!$C$8:$C$25,$D$5)</f>
        <v>62000</v>
      </c>
      <c r="H8" s="67">
        <f>SUMIFS('RAW DATA INPUT'!D8:D25,'RAW DATA INPUT'!$B$8:$B$25,"2026-06",'RAW DATA INPUT'!$C$8:$C$25,$D$5)</f>
        <v>64000</v>
      </c>
    </row>
    <row r="9" ht="19.5" customHeight="1">
      <c r="B9" s="74" t="s">
        <v>7</v>
      </c>
      <c r="C9" s="63">
        <f>IFERROR(SUMIFS('RAW DATA INPUT'!I8:I25,'RAW DATA INPUT'!$B$8:$B$25,"2026-01",'RAW DATA INPUT'!$C$8:$C$25,$D$5)/SUMIFS('RAW DATA INPUT'!E8:E25,'RAW DATA INPUT'!$B$8:$B$25,"2026-01",'RAW DATA INPUT'!$C$8:$C$25,$D$5),0)</f>
        <v>0.4285714286</v>
      </c>
      <c r="D9" s="63">
        <f>IFERROR(SUMIFS('RAW DATA INPUT'!I8:I25,'RAW DATA INPUT'!$B$8:$B$25,"2026-02",'RAW DATA INPUT'!$C$8:$C$25,$D$5)/SUMIFS('RAW DATA INPUT'!E8:E25,'RAW DATA INPUT'!$B$8:$B$25,"2026-02",'RAW DATA INPUT'!$C$8:$C$25,$D$5),0)</f>
        <v>0.4285714286</v>
      </c>
      <c r="E9" s="63">
        <f>IFERROR(SUMIFS('RAW DATA INPUT'!I8:I25,'RAW DATA INPUT'!$B$8:$B$25,"2026-03",'RAW DATA INPUT'!$C$8:$C$25,$D$5)/SUMIFS('RAW DATA INPUT'!E8:E25,'RAW DATA INPUT'!$B$8:$B$25,"2026-03",'RAW DATA INPUT'!$C$8:$C$25,$D$5),0)</f>
        <v>0.4285714286</v>
      </c>
      <c r="F9" s="63">
        <f>IFERROR(SUMIFS('RAW DATA INPUT'!I8:I25,'RAW DATA INPUT'!$B$8:$B$25,"2026-04",'RAW DATA INPUT'!$C$8:$C$25,$D$5)/SUMIFS('RAW DATA INPUT'!E8:E25,'RAW DATA INPUT'!$B$8:$B$25,"2026-04",'RAW DATA INPUT'!$C$8:$C$25,$D$5),0)</f>
        <v>0.4285714286</v>
      </c>
      <c r="G9" s="63">
        <f>IFERROR(SUMIFS('RAW DATA INPUT'!I8:I25,'RAW DATA INPUT'!$B$8:$B$25,"2026-05",'RAW DATA INPUT'!$C$8:$C$25,$D$5)/SUMIFS('RAW DATA INPUT'!E8:E25,'RAW DATA INPUT'!$B$8:$B$25,"2026-05",'RAW DATA INPUT'!$C$8:$C$25,$D$5),0)</f>
        <v>0.4285714286</v>
      </c>
      <c r="H9" s="63">
        <f>IFERROR(SUMIFS('RAW DATA INPUT'!I8:I25,'RAW DATA INPUT'!$B$8:$B$25,"2026-06",'RAW DATA INPUT'!$C$8:$C$25,$D$5)/SUMIFS('RAW DATA INPUT'!E8:E25,'RAW DATA INPUT'!$B$8:$B$25,"2026-06",'RAW DATA INPUT'!$C$8:$C$25,$D$5),0)</f>
        <v>0.4285714286</v>
      </c>
    </row>
    <row r="10" ht="19.5" customHeight="1">
      <c r="B10" s="74" t="s">
        <v>23</v>
      </c>
      <c r="C10" s="63">
        <f>IFERROR(SUMIFS('RAW DATA INPUT'!J8:J25,'RAW DATA INPUT'!$B$8:$B$25,"2026-01",'RAW DATA INPUT'!$C$8:$C$25,$D$5)/SUMIFS('RAW DATA INPUT'!F8:F25,'RAW DATA INPUT'!$B$8:$B$25,"2026-01",'RAW DATA INPUT'!$C$8:$C$25,$D$5),0)</f>
        <v>0.3333333333</v>
      </c>
      <c r="D10" s="63">
        <f>IFERROR(SUMIFS('RAW DATA INPUT'!J8:J25,'RAW DATA INPUT'!$B$8:$B$25,"2026-02",'RAW DATA INPUT'!$C$8:$C$25,$D$5)/SUMIFS('RAW DATA INPUT'!F8:F25,'RAW DATA INPUT'!$B$8:$B$25,"2026-02",'RAW DATA INPUT'!$C$8:$C$25,$D$5),0)</f>
        <v>0.3333333333</v>
      </c>
      <c r="E10" s="63">
        <f>IFERROR(SUMIFS('RAW DATA INPUT'!J8:J25,'RAW DATA INPUT'!$B$8:$B$25,"2026-03",'RAW DATA INPUT'!$C$8:$C$25,$D$5)/SUMIFS('RAW DATA INPUT'!F8:F25,'RAW DATA INPUT'!$B$8:$B$25,"2026-03",'RAW DATA INPUT'!$C$8:$C$25,$D$5),0)</f>
        <v>0.3333333333</v>
      </c>
      <c r="F10" s="63">
        <f>IFERROR(SUMIFS('RAW DATA INPUT'!J8:J25,'RAW DATA INPUT'!$B$8:$B$25,"2026-04",'RAW DATA INPUT'!$C$8:$C$25,$D$5)/SUMIFS('RAW DATA INPUT'!F8:F25,'RAW DATA INPUT'!$B$8:$B$25,"2026-04",'RAW DATA INPUT'!$C$8:$C$25,$D$5),0)</f>
        <v>0.3333333333</v>
      </c>
      <c r="G10" s="63">
        <f>IFERROR(SUMIFS('RAW DATA INPUT'!J8:J25,'RAW DATA INPUT'!$B$8:$B$25,"2026-05",'RAW DATA INPUT'!$C$8:$C$25,$D$5)/SUMIFS('RAW DATA INPUT'!F8:F25,'RAW DATA INPUT'!$B$8:$B$25,"2026-05",'RAW DATA INPUT'!$C$8:$C$25,$D$5),0)</f>
        <v>0.3333333333</v>
      </c>
      <c r="H10" s="63">
        <f>IFERROR(SUMIFS('RAW DATA INPUT'!J8:J25,'RAW DATA INPUT'!$B$8:$B$25,"2026-06",'RAW DATA INPUT'!$C$8:$C$25,$D$5)/SUMIFS('RAW DATA INPUT'!F8:F25,'RAW DATA INPUT'!$B$8:$B$25,"2026-06",'RAW DATA INPUT'!$C$8:$C$25,$D$5),0)</f>
        <v>0.3333333333</v>
      </c>
    </row>
    <row r="11" ht="19.5" customHeight="1">
      <c r="B11" s="74" t="s">
        <v>64</v>
      </c>
      <c r="C11" s="63">
        <f>IFERROR(SUMIFS('RAW DATA INPUT'!K8:K25,'RAW DATA INPUT'!$B$8:$B$25,"2026-01",'RAW DATA INPUT'!$C$8:$C$25,$D$5)/SUMIFS('RAW DATA INPUT'!D8:D25,'RAW DATA INPUT'!$B$8:$B$25,"2026-01",'RAW DATA INPUT'!$C$8:$C$25,$D$5),0)</f>
        <v>0.24</v>
      </c>
      <c r="D11" s="63">
        <f>IFERROR(SUMIFS('RAW DATA INPUT'!K8:K25,'RAW DATA INPUT'!$B$8:$B$25,"2026-02",'RAW DATA INPUT'!$C$8:$C$25,$D$5)/SUMIFS('RAW DATA INPUT'!D8:D25,'RAW DATA INPUT'!$B$8:$B$25,"2026-02",'RAW DATA INPUT'!$C$8:$C$25,$D$5),0)</f>
        <v>0.2454545455</v>
      </c>
      <c r="E11" s="63">
        <f>IFERROR(SUMIFS('RAW DATA INPUT'!K8:K25,'RAW DATA INPUT'!$B$8:$B$25,"2026-03",'RAW DATA INPUT'!$C$8:$C$25,$D$5)/SUMIFS('RAW DATA INPUT'!D8:D25,'RAW DATA INPUT'!$B$8:$B$25,"2026-03",'RAW DATA INPUT'!$C$8:$C$25,$D$5),0)</f>
        <v>0.25</v>
      </c>
      <c r="F11" s="63">
        <f>IFERROR(SUMIFS('RAW DATA INPUT'!K8:K25,'RAW DATA INPUT'!$B$8:$B$25,"2026-04",'RAW DATA INPUT'!$C$8:$C$25,$D$5)/SUMIFS('RAW DATA INPUT'!D8:D25,'RAW DATA INPUT'!$B$8:$B$25,"2026-04",'RAW DATA INPUT'!$C$8:$C$25,$D$5),0)</f>
        <v>0.25</v>
      </c>
      <c r="G11" s="63">
        <f>IFERROR(SUMIFS('RAW DATA INPUT'!K8:K25,'RAW DATA INPUT'!$B$8:$B$25,"2026-05",'RAW DATA INPUT'!$C$8:$C$25,$D$5)/SUMIFS('RAW DATA INPUT'!D8:D25,'RAW DATA INPUT'!$B$8:$B$25,"2026-05",'RAW DATA INPUT'!$C$8:$C$25,$D$5),0)</f>
        <v>0.25</v>
      </c>
      <c r="H11" s="63">
        <f>IFERROR(SUMIFS('RAW DATA INPUT'!K8:K25,'RAW DATA INPUT'!$B$8:$B$25,"2026-06",'RAW DATA INPUT'!$C$8:$C$25,$D$5)/SUMIFS('RAW DATA INPUT'!D8:D25,'RAW DATA INPUT'!$B$8:$B$25,"2026-06",'RAW DATA INPUT'!$C$8:$C$25,$D$5),0)</f>
        <v>0.25</v>
      </c>
    </row>
    <row r="12" ht="19.5" customHeight="1">
      <c r="B12" s="74" t="s">
        <v>9</v>
      </c>
      <c r="C12" s="63">
        <f>IFERROR((SUMIFS('RAW DATA INPUT'!I8:I25,'RAW DATA INPUT'!$B$8:$B$25,"2026-01",'RAW DATA INPUT'!$C$8:$C$25,$D$5)+SUMIFS('RAW DATA INPUT'!J8:J25,'RAW DATA INPUT'!$B$8:$B$25,"2026-01",'RAW DATA INPUT'!$C$8:$C$25,$D$5)+SUMIFS('RAW DATA INPUT'!K8:K25,'RAW DATA INPUT'!$B$8:$B$25,"2026-01",'RAW DATA INPUT'!$C$8:$C$25,$D$5))/SUMIFS('RAW DATA INPUT'!D8:D25,'RAW DATA INPUT'!$B$8:$B$25,"2026-01",'RAW DATA INPUT'!$C$8:$C$25,$D$5),0)</f>
        <v>0.64</v>
      </c>
      <c r="D12" s="63">
        <f>IFERROR((SUMIFS('RAW DATA INPUT'!I8:I25,'RAW DATA INPUT'!$B$8:$B$25,"2026-02",'RAW DATA INPUT'!$C$8:$C$25,$D$5)+SUMIFS('RAW DATA INPUT'!J8:J25,'RAW DATA INPUT'!$B$8:$B$25,"2026-02",'RAW DATA INPUT'!$C$8:$C$25,$D$5)+SUMIFS('RAW DATA INPUT'!K8:K25,'RAW DATA INPUT'!$B$8:$B$25,"2026-02",'RAW DATA INPUT'!$C$8:$C$25,$D$5))/SUMIFS('RAW DATA INPUT'!D8:D25,'RAW DATA INPUT'!$B$8:$B$25,"2026-02",'RAW DATA INPUT'!$C$8:$C$25,$D$5),0)</f>
        <v>0.6454545455</v>
      </c>
      <c r="E12" s="63">
        <f>IFERROR((SUMIFS('RAW DATA INPUT'!I8:I25,'RAW DATA INPUT'!$B$8:$B$25,"2026-03",'RAW DATA INPUT'!$C$8:$C$25,$D$5)+SUMIFS('RAW DATA INPUT'!J8:J25,'RAW DATA INPUT'!$B$8:$B$25,"2026-03",'RAW DATA INPUT'!$C$8:$C$25,$D$5)+SUMIFS('RAW DATA INPUT'!K8:K25,'RAW DATA INPUT'!$B$8:$B$25,"2026-03",'RAW DATA INPUT'!$C$8:$C$25,$D$5))/SUMIFS('RAW DATA INPUT'!D8:D25,'RAW DATA INPUT'!$B$8:$B$25,"2026-03",'RAW DATA INPUT'!$C$8:$C$25,$D$5),0)</f>
        <v>0.65</v>
      </c>
      <c r="F12" s="63">
        <f>IFERROR((SUMIFS('RAW DATA INPUT'!I8:I25,'RAW DATA INPUT'!$B$8:$B$25,"2026-04",'RAW DATA INPUT'!$C$8:$C$25,$D$5)+SUMIFS('RAW DATA INPUT'!J8:J25,'RAW DATA INPUT'!$B$8:$B$25,"2026-04",'RAW DATA INPUT'!$C$8:$C$25,$D$5)+SUMIFS('RAW DATA INPUT'!K8:K25,'RAW DATA INPUT'!$B$8:$B$25,"2026-04",'RAW DATA INPUT'!$C$8:$C$25,$D$5))/SUMIFS('RAW DATA INPUT'!D8:D25,'RAW DATA INPUT'!$B$8:$B$25,"2026-04",'RAW DATA INPUT'!$C$8:$C$25,$D$5),0)</f>
        <v>0.65</v>
      </c>
      <c r="G12" s="63">
        <f>IFERROR((SUMIFS('RAW DATA INPUT'!I8:I25,'RAW DATA INPUT'!$B$8:$B$25,"2026-05",'RAW DATA INPUT'!$C$8:$C$25,$D$5)+SUMIFS('RAW DATA INPUT'!J8:J25,'RAW DATA INPUT'!$B$8:$B$25,"2026-05",'RAW DATA INPUT'!$C$8:$C$25,$D$5)+SUMIFS('RAW DATA INPUT'!K8:K25,'RAW DATA INPUT'!$B$8:$B$25,"2026-05",'RAW DATA INPUT'!$C$8:$C$25,$D$5))/SUMIFS('RAW DATA INPUT'!D8:D25,'RAW DATA INPUT'!$B$8:$B$25,"2026-05",'RAW DATA INPUT'!$C$8:$C$25,$D$5),0)</f>
        <v>0.65</v>
      </c>
      <c r="H12" s="63">
        <f>IFERROR((SUMIFS('RAW DATA INPUT'!I8:I25,'RAW DATA INPUT'!$B$8:$B$25,"2026-06",'RAW DATA INPUT'!$C$8:$C$25,$D$5)+SUMIFS('RAW DATA INPUT'!J8:J25,'RAW DATA INPUT'!$B$8:$B$25,"2026-06",'RAW DATA INPUT'!$C$8:$C$25,$D$5)+SUMIFS('RAW DATA INPUT'!K8:K25,'RAW DATA INPUT'!$B$8:$B$25,"2026-06",'RAW DATA INPUT'!$C$8:$C$25,$D$5))/SUMIFS('RAW DATA INPUT'!D8:D25,'RAW DATA INPUT'!$B$8:$B$25,"2026-06",'RAW DATA INPUT'!$C$8:$C$25,$D$5),0)</f>
        <v>0.65</v>
      </c>
    </row>
    <row r="13" ht="19.5" customHeight="1">
      <c r="B13" s="74" t="s">
        <v>10</v>
      </c>
      <c r="C13" s="63">
        <f>IFERROR(SUMIFS('RAW DATA INPUT'!AM8:AM25,'RAW DATA INPUT'!$B$8:$B$25,"2026-01",'RAW DATA INPUT'!$C$8:$C$25,$D$5)/SUMIFS('RAW DATA INPUT'!D8:D25,'RAW DATA INPUT'!$B$8:$B$25,"2026-01",'RAW DATA INPUT'!$C$8:$C$25,$D$5),0)</f>
        <v>0.06</v>
      </c>
      <c r="D13" s="63">
        <f>IFERROR(SUMIFS('RAW DATA INPUT'!AM8:AM25,'RAW DATA INPUT'!$B$8:$B$25,"2026-02",'RAW DATA INPUT'!$C$8:$C$25,$D$5)/SUMIFS('RAW DATA INPUT'!D8:D25,'RAW DATA INPUT'!$B$8:$B$25,"2026-02",'RAW DATA INPUT'!$C$8:$C$25,$D$5),0)</f>
        <v>0.05454545455</v>
      </c>
      <c r="E13" s="63">
        <f>IFERROR(SUMIFS('RAW DATA INPUT'!AM8:AM25,'RAW DATA INPUT'!$B$8:$B$25,"2026-03",'RAW DATA INPUT'!$C$8:$C$25,$D$5)/SUMIFS('RAW DATA INPUT'!D8:D25,'RAW DATA INPUT'!$B$8:$B$25,"2026-03",'RAW DATA INPUT'!$C$8:$C$25,$D$5),0)</f>
        <v>0.05</v>
      </c>
      <c r="F13" s="63">
        <f>IFERROR(SUMIFS('RAW DATA INPUT'!AM8:AM25,'RAW DATA INPUT'!$B$8:$B$25,"2026-04",'RAW DATA INPUT'!$C$8:$C$25,$D$5)/SUMIFS('RAW DATA INPUT'!D8:D25,'RAW DATA INPUT'!$B$8:$B$25,"2026-04",'RAW DATA INPUT'!$C$8:$C$25,$D$5),0)</f>
        <v>0.05</v>
      </c>
      <c r="G13" s="63">
        <f>IFERROR(SUMIFS('RAW DATA INPUT'!AM8:AM25,'RAW DATA INPUT'!$B$8:$B$25,"2026-05",'RAW DATA INPUT'!$C$8:$C$25,$D$5)/SUMIFS('RAW DATA INPUT'!D8:D25,'RAW DATA INPUT'!$B$8:$B$25,"2026-05",'RAW DATA INPUT'!$C$8:$C$25,$D$5),0)</f>
        <v>0.05</v>
      </c>
      <c r="H13" s="63">
        <f>IFERROR(SUMIFS('RAW DATA INPUT'!AM8:AM25,'RAW DATA INPUT'!$B$8:$B$25,"2026-06",'RAW DATA INPUT'!$C$8:$C$25,$D$5)/SUMIFS('RAW DATA INPUT'!D8:D25,'RAW DATA INPUT'!$B$8:$B$25,"2026-06",'RAW DATA INPUT'!$C$8:$C$25,$D$5),0)</f>
        <v>0.05</v>
      </c>
    </row>
    <row r="14" ht="19.5" customHeight="1">
      <c r="B14" s="74" t="s">
        <v>11</v>
      </c>
      <c r="C14" s="63">
        <f>IFERROR(SUMIFS('RAW DATA INPUT'!AH8:AH25,'RAW DATA INPUT'!$B$8:$B$25,"2026-01",'RAW DATA INPUT'!$C$8:$C$25,$D$5)/SUMIFS('RAW DATA INPUT'!AG8:AG25,'RAW DATA INPUT'!$B$8:$B$25,"2026-01",'RAW DATA INPUT'!$C$8:$C$25,$D$5),0)</f>
        <v>0.86</v>
      </c>
      <c r="D14" s="63">
        <f>IFERROR(SUMIFS('RAW DATA INPUT'!AH8:AH25,'RAW DATA INPUT'!$B$8:$B$25,"2026-02",'RAW DATA INPUT'!$C$8:$C$25,$D$5)/SUMIFS('RAW DATA INPUT'!AG8:AG25,'RAW DATA INPUT'!$B$8:$B$25,"2026-02",'RAW DATA INPUT'!$C$8:$C$25,$D$5),0)</f>
        <v>0.86</v>
      </c>
      <c r="E14" s="63">
        <f>IFERROR(SUMIFS('RAW DATA INPUT'!AH8:AH25,'RAW DATA INPUT'!$B$8:$B$25,"2026-03",'RAW DATA INPUT'!$C$8:$C$25,$D$5)/SUMIFS('RAW DATA INPUT'!AG8:AG25,'RAW DATA INPUT'!$B$8:$B$25,"2026-03",'RAW DATA INPUT'!$C$8:$C$25,$D$5),0)</f>
        <v>0.86</v>
      </c>
      <c r="F14" s="63">
        <f>IFERROR(SUMIFS('RAW DATA INPUT'!AH8:AH25,'RAW DATA INPUT'!$B$8:$B$25,"2026-04",'RAW DATA INPUT'!$C$8:$C$25,$D$5)/SUMIFS('RAW DATA INPUT'!AG8:AG25,'RAW DATA INPUT'!$B$8:$B$25,"2026-04",'RAW DATA INPUT'!$C$8:$C$25,$D$5),0)</f>
        <v>0.86</v>
      </c>
      <c r="G14" s="63">
        <f>IFERROR(SUMIFS('RAW DATA INPUT'!AH8:AH25,'RAW DATA INPUT'!$B$8:$B$25,"2026-05",'RAW DATA INPUT'!$C$8:$C$25,$D$5)/SUMIFS('RAW DATA INPUT'!AG8:AG25,'RAW DATA INPUT'!$B$8:$B$25,"2026-05",'RAW DATA INPUT'!$C$8:$C$25,$D$5),0)</f>
        <v>0.86</v>
      </c>
      <c r="H14" s="63">
        <f>IFERROR(SUMIFS('RAW DATA INPUT'!AH8:AH25,'RAW DATA INPUT'!$B$8:$B$25,"2026-06",'RAW DATA INPUT'!$C$8:$C$25,$D$5)/SUMIFS('RAW DATA INPUT'!AG8:AG25,'RAW DATA INPUT'!$B$8:$B$25,"2026-06",'RAW DATA INPUT'!$C$8:$C$25,$D$5),0)</f>
        <v>0.86</v>
      </c>
    </row>
    <row r="15" ht="19.5" customHeight="1">
      <c r="B15" s="74" t="s">
        <v>12</v>
      </c>
      <c r="C15" s="63">
        <f>IFERROR(SUMIFS('RAW DATA INPUT'!P8:P25,'RAW DATA INPUT'!$B$8:$B$25,"2026-01",'RAW DATA INPUT'!$C$8:$C$25,$D$5)/SUMIFS('RAW DATA INPUT'!O8:O25,'RAW DATA INPUT'!$B$8:$B$25,"2026-01",'RAW DATA INPUT'!$C$8:$C$25,$D$5),0)</f>
        <v>0.34</v>
      </c>
      <c r="D15" s="63">
        <f>IFERROR(SUMIFS('RAW DATA INPUT'!P8:P25,'RAW DATA INPUT'!$B$8:$B$25,"2026-02",'RAW DATA INPUT'!$C$8:$C$25,$D$5)/SUMIFS('RAW DATA INPUT'!O8:O25,'RAW DATA INPUT'!$B$8:$B$25,"2026-02",'RAW DATA INPUT'!$C$8:$C$25,$D$5),0)</f>
        <v>0.34</v>
      </c>
      <c r="E15" s="63">
        <f>IFERROR(SUMIFS('RAW DATA INPUT'!P8:P25,'RAW DATA INPUT'!$B$8:$B$25,"2026-03",'RAW DATA INPUT'!$C$8:$C$25,$D$5)/SUMIFS('RAW DATA INPUT'!O8:O25,'RAW DATA INPUT'!$B$8:$B$25,"2026-03",'RAW DATA INPUT'!$C$8:$C$25,$D$5),0)</f>
        <v>0.34</v>
      </c>
      <c r="F15" s="63">
        <f>IFERROR(SUMIFS('RAW DATA INPUT'!P8:P25,'RAW DATA INPUT'!$B$8:$B$25,"2026-04",'RAW DATA INPUT'!$C$8:$C$25,$D$5)/SUMIFS('RAW DATA INPUT'!O8:O25,'RAW DATA INPUT'!$B$8:$B$25,"2026-04",'RAW DATA INPUT'!$C$8:$C$25,$D$5),0)</f>
        <v>0.34</v>
      </c>
      <c r="G15" s="63">
        <f>IFERROR(SUMIFS('RAW DATA INPUT'!P8:P25,'RAW DATA INPUT'!$B$8:$B$25,"2026-05",'RAW DATA INPUT'!$C$8:$C$25,$D$5)/SUMIFS('RAW DATA INPUT'!O8:O25,'RAW DATA INPUT'!$B$8:$B$25,"2026-05",'RAW DATA INPUT'!$C$8:$C$25,$D$5),0)</f>
        <v>0.34</v>
      </c>
      <c r="H15" s="63">
        <f>IFERROR(SUMIFS('RAW DATA INPUT'!P8:P25,'RAW DATA INPUT'!$B$8:$B$25,"2026-06",'RAW DATA INPUT'!$C$8:$C$25,$D$5)/SUMIFS('RAW DATA INPUT'!O8:O25,'RAW DATA INPUT'!$B$8:$B$25,"2026-06",'RAW DATA INPUT'!$C$8:$C$25,$D$5),0)</f>
        <v>0.34</v>
      </c>
    </row>
    <row r="16" ht="19.5" customHeight="1">
      <c r="B16" s="74" t="s">
        <v>24</v>
      </c>
      <c r="C16" s="70">
        <f>IFERROR((SUMIFS('RAW DATA INPUT'!I8:I25,'RAW DATA INPUT'!$B$8:$B$25,"2026-01",'RAW DATA INPUT'!$C$8:$C$25,$D$5)+SUMIFS('RAW DATA INPUT'!J8:J25,'RAW DATA INPUT'!$B$8:$B$25,"2026-01",'RAW DATA INPUT'!$C$8:$C$25,$D$5))/((SUMIFS('RAW DATA INPUT'!Q8:Q25,'RAW DATA INPUT'!$B$8:$B$25,"2026-01",'RAW DATA INPUT'!$C$8:$C$25,$D$5)+SUMIFS('RAW DATA INPUT'!R8:R25,'RAW DATA INPUT'!$B$8:$B$25,"2026-01",'RAW DATA INPUT'!$C$8:$C$25,$D$5))/2),0)</f>
        <v>1.523809524</v>
      </c>
      <c r="D16" s="70">
        <f>IFERROR((SUMIFS('RAW DATA INPUT'!I8:I25,'RAW DATA INPUT'!$B$8:$B$25,"2026-02",'RAW DATA INPUT'!$C$8:$C$25,$D$5)+SUMIFS('RAW DATA INPUT'!J8:J25,'RAW DATA INPUT'!$B$8:$B$25,"2026-02",'RAW DATA INPUT'!$C$8:$C$25,$D$5))/((SUMIFS('RAW DATA INPUT'!Q8:Q25,'RAW DATA INPUT'!$B$8:$B$25,"2026-02",'RAW DATA INPUT'!$C$8:$C$25,$D$5)+SUMIFS('RAW DATA INPUT'!R8:R25,'RAW DATA INPUT'!$B$8:$B$25,"2026-02",'RAW DATA INPUT'!$C$8:$C$25,$D$5))/2),0)</f>
        <v>1.523809524</v>
      </c>
      <c r="E16" s="70">
        <f>IFERROR((SUMIFS('RAW DATA INPUT'!I8:I25,'RAW DATA INPUT'!$B$8:$B$25,"2026-03",'RAW DATA INPUT'!$C$8:$C$25,$D$5)+SUMIFS('RAW DATA INPUT'!J8:J25,'RAW DATA INPUT'!$B$8:$B$25,"2026-03",'RAW DATA INPUT'!$C$8:$C$25,$D$5))/((SUMIFS('RAW DATA INPUT'!Q8:Q25,'RAW DATA INPUT'!$B$8:$B$25,"2026-03",'RAW DATA INPUT'!$C$8:$C$25,$D$5)+SUMIFS('RAW DATA INPUT'!R8:R25,'RAW DATA INPUT'!$B$8:$B$25,"2026-03",'RAW DATA INPUT'!$C$8:$C$25,$D$5))/2),0)</f>
        <v>1.523809524</v>
      </c>
      <c r="F16" s="70">
        <f>IFERROR((SUMIFS('RAW DATA INPUT'!I8:I25,'RAW DATA INPUT'!$B$8:$B$25,"2026-04",'RAW DATA INPUT'!$C$8:$C$25,$D$5)+SUMIFS('RAW DATA INPUT'!J8:J25,'RAW DATA INPUT'!$B$8:$B$25,"2026-04",'RAW DATA INPUT'!$C$8:$C$25,$D$5))/((SUMIFS('RAW DATA INPUT'!Q8:Q25,'RAW DATA INPUT'!$B$8:$B$25,"2026-04",'RAW DATA INPUT'!$C$8:$C$25,$D$5)+SUMIFS('RAW DATA INPUT'!R8:R25,'RAW DATA INPUT'!$B$8:$B$25,"2026-04",'RAW DATA INPUT'!$C$8:$C$25,$D$5))/2),0)</f>
        <v>1.523809524</v>
      </c>
      <c r="G16" s="70">
        <f>IFERROR((SUMIFS('RAW DATA INPUT'!I8:I25,'RAW DATA INPUT'!$B$8:$B$25,"2026-05",'RAW DATA INPUT'!$C$8:$C$25,$D$5)+SUMIFS('RAW DATA INPUT'!J8:J25,'RAW DATA INPUT'!$B$8:$B$25,"2026-05",'RAW DATA INPUT'!$C$8:$C$25,$D$5))/((SUMIFS('RAW DATA INPUT'!Q8:Q25,'RAW DATA INPUT'!$B$8:$B$25,"2026-05",'RAW DATA INPUT'!$C$8:$C$25,$D$5)+SUMIFS('RAW DATA INPUT'!R8:R25,'RAW DATA INPUT'!$B$8:$B$25,"2026-05",'RAW DATA INPUT'!$C$8:$C$25,$D$5))/2),0)</f>
        <v>1.523809524</v>
      </c>
      <c r="H16" s="70">
        <f>IFERROR((SUMIFS('RAW DATA INPUT'!I8:I25,'RAW DATA INPUT'!$B$8:$B$25,"2026-06",'RAW DATA INPUT'!$C$8:$C$25,$D$5)+SUMIFS('RAW DATA INPUT'!J8:J25,'RAW DATA INPUT'!$B$8:$B$25,"2026-06",'RAW DATA INPUT'!$C$8:$C$25,$D$5))/((SUMIFS('RAW DATA INPUT'!Q8:Q25,'RAW DATA INPUT'!$B$8:$B$25,"2026-06",'RAW DATA INPUT'!$C$8:$C$25,$D$5)+SUMIFS('RAW DATA INPUT'!R8:R25,'RAW DATA INPUT'!$B$8:$B$25,"2026-06",'RAW DATA INPUT'!$C$8:$C$25,$D$5))/2),0)</f>
        <v>1.523809524</v>
      </c>
    </row>
    <row r="19">
      <c r="B19" s="19" t="s">
        <v>187</v>
      </c>
      <c r="C19" s="11"/>
      <c r="D19" s="11"/>
      <c r="E19" s="11"/>
      <c r="F19" s="11"/>
      <c r="G19" s="11"/>
      <c r="H19" s="11"/>
      <c r="I19" s="10"/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T2"/>
    <mergeCell ref="B3:T3"/>
    <mergeCell ref="B19:I19"/>
  </mergeCells>
  <dataValidations>
    <dataValidation type="list" allowBlank="1" sqref="D5">
      <formula1>"Main Street (Flagship),Downtown Branch,Riverside Branch"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ySplit="5.0" topLeftCell="B6" activePane="bottomRight" state="frozen"/>
      <selection activeCell="B1" sqref="B1" pane="topRight"/>
      <selection activeCell="A6" sqref="A6" pane="bottomLeft"/>
      <selection activeCell="B6" sqref="B6" pane="bottomRight"/>
    </sheetView>
  </sheetViews>
  <sheetFormatPr customHeight="1" defaultColWidth="14.43" defaultRowHeight="15.0"/>
  <cols>
    <col customWidth="1" min="1" max="1" width="3.0"/>
    <col customWidth="1" min="2" max="2" width="4.0"/>
    <col customWidth="1" min="3" max="3" width="28.0"/>
    <col customWidth="1" min="4" max="4" width="12.0"/>
    <col customWidth="1" min="5" max="5" width="8.0"/>
    <col customWidth="1" min="6" max="6" width="11.0"/>
    <col customWidth="1" min="7" max="7" width="32.0"/>
    <col customWidth="1" min="8" max="8" width="28.0"/>
    <col customWidth="1" min="9" max="9" width="14.0"/>
    <col customWidth="1" min="10" max="10" width="12.0"/>
    <col customWidth="1" min="11" max="11" width="13.0"/>
    <col customWidth="1" min="12" max="26" width="8.71"/>
  </cols>
  <sheetData>
    <row r="1" ht="24.0" customHeight="1">
      <c r="B1" s="4" t="s">
        <v>188</v>
      </c>
      <c r="C1" s="2"/>
      <c r="D1" s="2"/>
      <c r="E1" s="2"/>
      <c r="F1" s="2"/>
      <c r="G1" s="2"/>
      <c r="H1" s="2"/>
      <c r="I1" s="2"/>
      <c r="J1" s="2"/>
      <c r="K1" s="3"/>
    </row>
    <row r="2" ht="19.5" customHeight="1">
      <c r="B2" s="5"/>
      <c r="C2" s="6"/>
      <c r="D2" s="6"/>
      <c r="E2" s="6"/>
      <c r="F2" s="6"/>
      <c r="G2" s="6"/>
      <c r="H2" s="6"/>
      <c r="I2" s="6"/>
      <c r="J2" s="6"/>
      <c r="K2" s="7"/>
    </row>
    <row r="3" ht="18.0" customHeight="1">
      <c r="B3" s="12" t="s">
        <v>189</v>
      </c>
      <c r="C3" s="11"/>
      <c r="D3" s="11"/>
      <c r="E3" s="11"/>
      <c r="F3" s="11"/>
      <c r="G3" s="11"/>
      <c r="H3" s="11"/>
      <c r="I3" s="11"/>
      <c r="J3" s="11"/>
      <c r="K3" s="10"/>
    </row>
    <row r="5" ht="24.0" customHeight="1">
      <c r="B5" s="30" t="s">
        <v>31</v>
      </c>
      <c r="C5" s="30" t="s">
        <v>16</v>
      </c>
      <c r="D5" s="30" t="s">
        <v>190</v>
      </c>
      <c r="E5" s="30" t="s">
        <v>18</v>
      </c>
      <c r="F5" s="30" t="s">
        <v>21</v>
      </c>
      <c r="G5" s="30" t="s">
        <v>191</v>
      </c>
      <c r="H5" s="30" t="s">
        <v>192</v>
      </c>
      <c r="I5" s="30" t="s">
        <v>193</v>
      </c>
      <c r="J5" s="30" t="s">
        <v>194</v>
      </c>
      <c r="K5" s="30" t="s">
        <v>195</v>
      </c>
    </row>
    <row r="6" ht="21.75" customHeight="1">
      <c r="B6" s="31">
        <v>1.0</v>
      </c>
      <c r="C6" s="33" t="str">
        <f>'MONTHLY REVIEW'!D8</f>
        <v>Total Sales</v>
      </c>
      <c r="D6" s="67">
        <f>'MONTHLY REVIEW'!E8</f>
        <v>64000</v>
      </c>
      <c r="E6" s="75" t="str">
        <f>'MONTHLY REVIEW'!F8</f>
        <v>-</v>
      </c>
      <c r="F6" s="58" t="str">
        <f>'MONTHLY REVIEW'!G8</f>
        <v/>
      </c>
      <c r="G6" s="76" t="str">
        <f t="shared" ref="G6:G43" si="1">IF(OR(E6="D",E6="F"),D6&amp;" is "&amp;E6&amp;" grade - off target","")</f>
        <v/>
      </c>
      <c r="H6" s="77"/>
      <c r="I6" s="78"/>
      <c r="J6" s="79"/>
      <c r="K6" s="80" t="s">
        <v>196</v>
      </c>
    </row>
    <row r="7" ht="21.75" customHeight="1">
      <c r="B7" s="31">
        <v>2.0</v>
      </c>
      <c r="C7" s="33" t="str">
        <f>'MONTHLY REVIEW'!D9</f>
        <v>Sales Growth %</v>
      </c>
      <c r="D7" s="63">
        <f>'MONTHLY REVIEW'!E9</f>
        <v>0.03225806452</v>
      </c>
      <c r="E7" s="75" t="str">
        <f>'MONTHLY REVIEW'!F9</f>
        <v>A</v>
      </c>
      <c r="F7" s="62">
        <f>'MONTHLY REVIEW'!G9</f>
        <v>0.03</v>
      </c>
      <c r="G7" s="76" t="str">
        <f t="shared" si="1"/>
        <v/>
      </c>
      <c r="H7" s="77"/>
      <c r="I7" s="78"/>
      <c r="J7" s="79"/>
      <c r="K7" s="80" t="s">
        <v>196</v>
      </c>
    </row>
    <row r="8" ht="21.75" customHeight="1">
      <c r="B8" s="31">
        <v>3.0</v>
      </c>
      <c r="C8" s="33" t="str">
        <f>'MONTHLY REVIEW'!D10</f>
        <v>Revenue per Seat-Hour</v>
      </c>
      <c r="D8" s="66">
        <f>'MONTHLY REVIEW'!E10</f>
        <v>2.580645161</v>
      </c>
      <c r="E8" s="75" t="str">
        <f>'MONTHLY REVIEW'!F10</f>
        <v>F</v>
      </c>
      <c r="F8" s="65">
        <f>'MONTHLY REVIEW'!G10</f>
        <v>12</v>
      </c>
      <c r="G8" s="76" t="str">
        <f t="shared" si="1"/>
        <v>2.58064516129032 is F grade - off target</v>
      </c>
      <c r="H8" s="77"/>
      <c r="I8" s="78"/>
      <c r="J8" s="79"/>
      <c r="K8" s="80" t="s">
        <v>196</v>
      </c>
    </row>
    <row r="9" ht="21.75" customHeight="1">
      <c r="B9" s="31">
        <v>4.0</v>
      </c>
      <c r="C9" s="33" t="str">
        <f>'MONTHLY REVIEW'!D11</f>
        <v>Average Spend per Guest</v>
      </c>
      <c r="D9" s="66">
        <f>'MONTHLY REVIEW'!E11</f>
        <v>17.2972973</v>
      </c>
      <c r="E9" s="75" t="str">
        <f>'MONTHLY REVIEW'!F11</f>
        <v>A</v>
      </c>
      <c r="F9" s="65">
        <f>'MONTHLY REVIEW'!G11</f>
        <v>18</v>
      </c>
      <c r="G9" s="76" t="str">
        <f t="shared" si="1"/>
        <v/>
      </c>
      <c r="H9" s="77"/>
      <c r="I9" s="78"/>
      <c r="J9" s="79"/>
      <c r="K9" s="80" t="s">
        <v>196</v>
      </c>
    </row>
    <row r="10" ht="21.75" customHeight="1">
      <c r="B10" s="31">
        <v>5.0</v>
      </c>
      <c r="C10" s="33" t="str">
        <f>'MONTHLY REVIEW'!D12</f>
        <v>Food % of Sales</v>
      </c>
      <c r="D10" s="63">
        <f>'MONTHLY REVIEW'!E12</f>
        <v>0.7</v>
      </c>
      <c r="E10" s="75" t="str">
        <f>'MONTHLY REVIEW'!F12</f>
        <v>A</v>
      </c>
      <c r="F10" s="62">
        <f>'MONTHLY REVIEW'!G12</f>
        <v>0.7</v>
      </c>
      <c r="G10" s="76" t="str">
        <f t="shared" si="1"/>
        <v/>
      </c>
      <c r="H10" s="77"/>
      <c r="I10" s="78"/>
      <c r="J10" s="79"/>
      <c r="K10" s="80" t="s">
        <v>196</v>
      </c>
    </row>
    <row r="11" ht="21.75" customHeight="1">
      <c r="B11" s="31">
        <v>6.0</v>
      </c>
      <c r="C11" s="33" t="str">
        <f>'MONTHLY REVIEW'!D13</f>
        <v>Beverage % of Sales</v>
      </c>
      <c r="D11" s="63">
        <f>'MONTHLY REVIEW'!E13</f>
        <v>0.3</v>
      </c>
      <c r="E11" s="75" t="str">
        <f>'MONTHLY REVIEW'!F13</f>
        <v>A</v>
      </c>
      <c r="F11" s="62">
        <f>'MONTHLY REVIEW'!G13</f>
        <v>0.3</v>
      </c>
      <c r="G11" s="76" t="str">
        <f t="shared" si="1"/>
        <v/>
      </c>
      <c r="H11" s="77"/>
      <c r="I11" s="78"/>
      <c r="J11" s="79"/>
      <c r="K11" s="80" t="s">
        <v>196</v>
      </c>
    </row>
    <row r="12" ht="21.75" customHeight="1">
      <c r="B12" s="31">
        <v>7.0</v>
      </c>
      <c r="C12" s="33" t="str">
        <f>'MONTHLY REVIEW'!D14</f>
        <v>Dine-In % of Sales</v>
      </c>
      <c r="D12" s="63">
        <f>'MONTHLY REVIEW'!E14</f>
        <v>0.62</v>
      </c>
      <c r="E12" s="75" t="str">
        <f>'MONTHLY REVIEW'!F14</f>
        <v>A</v>
      </c>
      <c r="F12" s="62">
        <f>'MONTHLY REVIEW'!G14</f>
        <v>0.6</v>
      </c>
      <c r="G12" s="76" t="str">
        <f t="shared" si="1"/>
        <v/>
      </c>
      <c r="H12" s="77"/>
      <c r="I12" s="78"/>
      <c r="J12" s="79"/>
      <c r="K12" s="80" t="s">
        <v>196</v>
      </c>
    </row>
    <row r="13" ht="21.75" customHeight="1">
      <c r="B13" s="31">
        <v>8.0</v>
      </c>
      <c r="C13" s="33" t="str">
        <f>'MONTHLY REVIEW'!D15</f>
        <v>Takeout/Delivery % of Sales</v>
      </c>
      <c r="D13" s="63">
        <f>'MONTHLY REVIEW'!E15</f>
        <v>0.38</v>
      </c>
      <c r="E13" s="75" t="str">
        <f>'MONTHLY REVIEW'!F15</f>
        <v>A</v>
      </c>
      <c r="F13" s="62">
        <f>'MONTHLY REVIEW'!G15</f>
        <v>0.4</v>
      </c>
      <c r="G13" s="76" t="str">
        <f t="shared" si="1"/>
        <v/>
      </c>
      <c r="H13" s="77"/>
      <c r="I13" s="78"/>
      <c r="J13" s="79"/>
      <c r="K13" s="80" t="s">
        <v>196</v>
      </c>
    </row>
    <row r="14" ht="21.75" customHeight="1">
      <c r="B14" s="31">
        <v>9.0</v>
      </c>
      <c r="C14" s="33" t="str">
        <f>'MONTHLY REVIEW'!D16</f>
        <v>Food Cost %</v>
      </c>
      <c r="D14" s="63">
        <f>'MONTHLY REVIEW'!E16</f>
        <v>0.4285714286</v>
      </c>
      <c r="E14" s="75" t="str">
        <f>'MONTHLY REVIEW'!F16</f>
        <v>C</v>
      </c>
      <c r="F14" s="62">
        <f>'MONTHLY REVIEW'!G16</f>
        <v>0.32</v>
      </c>
      <c r="G14" s="76" t="str">
        <f t="shared" si="1"/>
        <v/>
      </c>
      <c r="H14" s="77"/>
      <c r="I14" s="78"/>
      <c r="J14" s="79"/>
      <c r="K14" s="80" t="s">
        <v>196</v>
      </c>
    </row>
    <row r="15" ht="21.75" customHeight="1">
      <c r="B15" s="31">
        <v>10.0</v>
      </c>
      <c r="C15" s="33" t="str">
        <f>'MONTHLY REVIEW'!D17</f>
        <v>Beverage Cost %</v>
      </c>
      <c r="D15" s="63">
        <f>'MONTHLY REVIEW'!E17</f>
        <v>0.3333333333</v>
      </c>
      <c r="E15" s="75" t="str">
        <f>'MONTHLY REVIEW'!F17</f>
        <v>C</v>
      </c>
      <c r="F15" s="62">
        <f>'MONTHLY REVIEW'!G17</f>
        <v>0.27</v>
      </c>
      <c r="G15" s="76" t="str">
        <f t="shared" si="1"/>
        <v/>
      </c>
      <c r="H15" s="77"/>
      <c r="I15" s="78"/>
      <c r="J15" s="79"/>
      <c r="K15" s="80" t="s">
        <v>196</v>
      </c>
    </row>
    <row r="16" ht="21.75" customHeight="1">
      <c r="B16" s="31">
        <v>11.0</v>
      </c>
      <c r="C16" s="33" t="str">
        <f>'MONTHLY REVIEW'!D18</f>
        <v>Prime Cost %</v>
      </c>
      <c r="D16" s="63">
        <f>'MONTHLY REVIEW'!E18</f>
        <v>0.65</v>
      </c>
      <c r="E16" s="75" t="str">
        <f>'MONTHLY REVIEW'!F18</f>
        <v>B</v>
      </c>
      <c r="F16" s="62">
        <f>'MONTHLY REVIEW'!G18</f>
        <v>0.6</v>
      </c>
      <c r="G16" s="76" t="str">
        <f t="shared" si="1"/>
        <v/>
      </c>
      <c r="H16" s="77"/>
      <c r="I16" s="78"/>
      <c r="J16" s="79"/>
      <c r="K16" s="80" t="s">
        <v>196</v>
      </c>
    </row>
    <row r="17" ht="21.75" customHeight="1">
      <c r="B17" s="31">
        <v>12.0</v>
      </c>
      <c r="C17" s="33" t="str">
        <f>'MONTHLY REVIEW'!D19</f>
        <v>Gross Profit Margin %</v>
      </c>
      <c r="D17" s="63">
        <f>'MONTHLY REVIEW'!E19</f>
        <v>0.6</v>
      </c>
      <c r="E17" s="75" t="str">
        <f>'MONTHLY REVIEW'!F19</f>
        <v>B</v>
      </c>
      <c r="F17" s="62">
        <f>'MONTHLY REVIEW'!G19</f>
        <v>0.7</v>
      </c>
      <c r="G17" s="76" t="str">
        <f t="shared" si="1"/>
        <v/>
      </c>
      <c r="H17" s="77"/>
      <c r="I17" s="78"/>
      <c r="J17" s="79"/>
      <c r="K17" s="80" t="s">
        <v>196</v>
      </c>
    </row>
    <row r="18" ht="21.75" customHeight="1">
      <c r="B18" s="31">
        <v>13.0</v>
      </c>
      <c r="C18" s="33" t="str">
        <f>'MONTHLY REVIEW'!D20</f>
        <v>Food Waste %</v>
      </c>
      <c r="D18" s="63">
        <f>'MONTHLY REVIEW'!E20</f>
        <v>0.009419642857</v>
      </c>
      <c r="E18" s="75" t="str">
        <f>'MONTHLY REVIEW'!F20</f>
        <v>A</v>
      </c>
      <c r="F18" s="62">
        <f>'MONTHLY REVIEW'!G20</f>
        <v>0.02</v>
      </c>
      <c r="G18" s="76" t="str">
        <f t="shared" si="1"/>
        <v/>
      </c>
      <c r="H18" s="77"/>
      <c r="I18" s="78"/>
      <c r="J18" s="79"/>
      <c r="K18" s="80" t="s">
        <v>196</v>
      </c>
    </row>
    <row r="19" ht="21.75" customHeight="1">
      <c r="B19" s="31">
        <v>14.0</v>
      </c>
      <c r="C19" s="33" t="str">
        <f>'MONTHLY REVIEW'!D21</f>
        <v>Labor Cost %</v>
      </c>
      <c r="D19" s="63">
        <f>'MONTHLY REVIEW'!E21</f>
        <v>0.25</v>
      </c>
      <c r="E19" s="75" t="str">
        <f>'MONTHLY REVIEW'!F21</f>
        <v>A</v>
      </c>
      <c r="F19" s="62">
        <f>'MONTHLY REVIEW'!G21</f>
        <v>0.27</v>
      </c>
      <c r="G19" s="76" t="str">
        <f t="shared" si="1"/>
        <v/>
      </c>
      <c r="H19" s="77"/>
      <c r="I19" s="78"/>
      <c r="J19" s="79"/>
      <c r="K19" s="80" t="s">
        <v>196</v>
      </c>
    </row>
    <row r="20" ht="21.75" customHeight="1">
      <c r="B20" s="31">
        <v>15.0</v>
      </c>
      <c r="C20" s="33" t="str">
        <f>'MONTHLY REVIEW'!D22</f>
        <v>Sales per Labor Hour</v>
      </c>
      <c r="D20" s="66">
        <f>'MONTHLY REVIEW'!E22</f>
        <v>55.99300087</v>
      </c>
      <c r="E20" s="75" t="str">
        <f>'MONTHLY REVIEW'!F22</f>
        <v>B</v>
      </c>
      <c r="F20" s="65">
        <f>'MONTHLY REVIEW'!G22</f>
        <v>65</v>
      </c>
      <c r="G20" s="76" t="str">
        <f t="shared" si="1"/>
        <v/>
      </c>
      <c r="H20" s="77"/>
      <c r="I20" s="78"/>
      <c r="J20" s="79"/>
      <c r="K20" s="80" t="s">
        <v>196</v>
      </c>
    </row>
    <row r="21" ht="21.75" customHeight="1">
      <c r="B21" s="31">
        <v>16.0</v>
      </c>
      <c r="C21" s="33" t="str">
        <f>'MONTHLY REVIEW'!D23</f>
        <v>Sales per Employee (FTE)</v>
      </c>
      <c r="D21" s="67">
        <f>'MONTHLY REVIEW'!E23</f>
        <v>9014.084507</v>
      </c>
      <c r="E21" s="75" t="str">
        <f>'MONTHLY REVIEW'!F23</f>
        <v>A</v>
      </c>
      <c r="F21" s="58">
        <f>'MONTHLY REVIEW'!G23</f>
        <v>4500</v>
      </c>
      <c r="G21" s="76" t="str">
        <f t="shared" si="1"/>
        <v/>
      </c>
      <c r="H21" s="77"/>
      <c r="I21" s="78"/>
      <c r="J21" s="79"/>
      <c r="K21" s="80" t="s">
        <v>196</v>
      </c>
    </row>
    <row r="22" ht="21.75" customHeight="1">
      <c r="B22" s="31">
        <v>17.0</v>
      </c>
      <c r="C22" s="33" t="str">
        <f>'MONTHLY REVIEW'!D24</f>
        <v>Employee Turnover Rate %</v>
      </c>
      <c r="D22" s="63">
        <f>'MONTHLY REVIEW'!E24</f>
        <v>2.608695652</v>
      </c>
      <c r="E22" s="75" t="str">
        <f>'MONTHLY REVIEW'!F24</f>
        <v>F</v>
      </c>
      <c r="F22" s="62">
        <f>'MONTHLY REVIEW'!G24</f>
        <v>0.75</v>
      </c>
      <c r="G22" s="76" t="str">
        <f t="shared" si="1"/>
        <v>2.60869565217391 is F grade - off target</v>
      </c>
      <c r="H22" s="77"/>
      <c r="I22" s="78"/>
      <c r="J22" s="79"/>
      <c r="K22" s="80" t="s">
        <v>196</v>
      </c>
    </row>
    <row r="23" ht="21.75" customHeight="1">
      <c r="B23" s="31">
        <v>18.0</v>
      </c>
      <c r="C23" s="33" t="str">
        <f>'MONTHLY REVIEW'!D25</f>
        <v>Inventory Turnover (x/month)</v>
      </c>
      <c r="D23" s="70">
        <f>'MONTHLY REVIEW'!E25</f>
        <v>1.523809524</v>
      </c>
      <c r="E23" s="75" t="str">
        <f>'MONTHLY REVIEW'!F25</f>
        <v>F</v>
      </c>
      <c r="F23" s="69">
        <f>'MONTHLY REVIEW'!G25</f>
        <v>10</v>
      </c>
      <c r="G23" s="76" t="str">
        <f t="shared" si="1"/>
        <v>1.52380952380952 is F grade - off target</v>
      </c>
      <c r="H23" s="77"/>
      <c r="I23" s="78"/>
      <c r="J23" s="79"/>
      <c r="K23" s="80" t="s">
        <v>196</v>
      </c>
    </row>
    <row r="24" ht="21.75" customHeight="1">
      <c r="B24" s="31">
        <v>19.0</v>
      </c>
      <c r="C24" s="33" t="str">
        <f>'MONTHLY REVIEW'!D26</f>
        <v>Days Inventory on Hand</v>
      </c>
      <c r="D24" s="70">
        <f>'MONTHLY REVIEW'!E26</f>
        <v>19.6875</v>
      </c>
      <c r="E24" s="75" t="str">
        <f>'MONTHLY REVIEW'!F26</f>
        <v>F</v>
      </c>
      <c r="F24" s="69">
        <f>'MONTHLY REVIEW'!G26</f>
        <v>5</v>
      </c>
      <c r="G24" s="76" t="str">
        <f t="shared" si="1"/>
        <v>19.6875 is F grade - off target</v>
      </c>
      <c r="H24" s="77"/>
      <c r="I24" s="78"/>
      <c r="J24" s="79"/>
      <c r="K24" s="80" t="s">
        <v>196</v>
      </c>
    </row>
    <row r="25" ht="21.75" customHeight="1">
      <c r="B25" s="31">
        <v>20.0</v>
      </c>
      <c r="C25" s="33" t="str">
        <f>'MONTHLY REVIEW'!D27</f>
        <v>Stock Variance ($)</v>
      </c>
      <c r="D25" s="67">
        <f>'MONTHLY REVIEW'!E27</f>
        <v>163</v>
      </c>
      <c r="E25" s="75" t="str">
        <f>'MONTHLY REVIEW'!F27</f>
        <v>F</v>
      </c>
      <c r="F25" s="58">
        <f>'MONTHLY REVIEW'!G27</f>
        <v>0</v>
      </c>
      <c r="G25" s="76" t="str">
        <f t="shared" si="1"/>
        <v>163 is F grade - off target</v>
      </c>
      <c r="H25" s="77"/>
      <c r="I25" s="78"/>
      <c r="J25" s="79"/>
      <c r="K25" s="80" t="s">
        <v>196</v>
      </c>
    </row>
    <row r="26" ht="21.75" customHeight="1">
      <c r="B26" s="31">
        <v>21.0</v>
      </c>
      <c r="C26" s="33" t="str">
        <f>'MONTHLY REVIEW'!D28</f>
        <v>Waste % of COGS</v>
      </c>
      <c r="D26" s="63">
        <f>'MONTHLY REVIEW'!E28</f>
        <v>0.016484375</v>
      </c>
      <c r="E26" s="75" t="str">
        <f>'MONTHLY REVIEW'!F28</f>
        <v>A</v>
      </c>
      <c r="F26" s="62">
        <f>'MONTHLY REVIEW'!G28</f>
        <v>0.025</v>
      </c>
      <c r="G26" s="76" t="str">
        <f t="shared" si="1"/>
        <v/>
      </c>
      <c r="H26" s="77"/>
      <c r="I26" s="78"/>
      <c r="J26" s="79"/>
      <c r="K26" s="80" t="s">
        <v>196</v>
      </c>
    </row>
    <row r="27" ht="21.75" customHeight="1">
      <c r="B27" s="31">
        <v>22.0</v>
      </c>
      <c r="C27" s="33" t="str">
        <f>'MONTHLY REVIEW'!D29</f>
        <v>Guest Satisfaction (CSAT) %</v>
      </c>
      <c r="D27" s="63">
        <f>'MONTHLY REVIEW'!E29</f>
        <v>0.86</v>
      </c>
      <c r="E27" s="75" t="str">
        <f>'MONTHLY REVIEW'!F29</f>
        <v>A</v>
      </c>
      <c r="F27" s="62">
        <f>'MONTHLY REVIEW'!G29</f>
        <v>0.85</v>
      </c>
      <c r="G27" s="76" t="str">
        <f t="shared" si="1"/>
        <v/>
      </c>
      <c r="H27" s="77"/>
      <c r="I27" s="78"/>
      <c r="J27" s="79"/>
      <c r="K27" s="80" t="s">
        <v>196</v>
      </c>
    </row>
    <row r="28" ht="21.75" customHeight="1">
      <c r="B28" s="31">
        <v>23.0</v>
      </c>
      <c r="C28" s="33" t="str">
        <f>'MONTHLY REVIEW'!D30</f>
        <v>Net Promoter Score (NPS)</v>
      </c>
      <c r="D28" s="73">
        <f>'MONTHLY REVIEW'!E30</f>
        <v>36.3</v>
      </c>
      <c r="E28" s="75" t="str">
        <f>'MONTHLY REVIEW'!F30</f>
        <v>B</v>
      </c>
      <c r="F28" s="72">
        <f>'MONTHLY REVIEW'!G30</f>
        <v>40</v>
      </c>
      <c r="G28" s="76" t="str">
        <f t="shared" si="1"/>
        <v/>
      </c>
      <c r="H28" s="77"/>
      <c r="I28" s="78"/>
      <c r="J28" s="79"/>
      <c r="K28" s="80" t="s">
        <v>196</v>
      </c>
    </row>
    <row r="29" ht="21.75" customHeight="1">
      <c r="B29" s="31">
        <v>24.0</v>
      </c>
      <c r="C29" s="33" t="str">
        <f>'MONTHLY REVIEW'!D31</f>
        <v>Repeat Visit Rate %</v>
      </c>
      <c r="D29" s="63">
        <f>'MONTHLY REVIEW'!E31</f>
        <v>0.34</v>
      </c>
      <c r="E29" s="75" t="str">
        <f>'MONTHLY REVIEW'!F31</f>
        <v>A</v>
      </c>
      <c r="F29" s="62">
        <f>'MONTHLY REVIEW'!G31</f>
        <v>0.35</v>
      </c>
      <c r="G29" s="76" t="str">
        <f t="shared" si="1"/>
        <v/>
      </c>
      <c r="H29" s="77"/>
      <c r="I29" s="78"/>
      <c r="J29" s="79"/>
      <c r="K29" s="80" t="s">
        <v>196</v>
      </c>
    </row>
    <row r="30" ht="21.75" customHeight="1">
      <c r="B30" s="31">
        <v>25.0</v>
      </c>
      <c r="C30" s="33" t="str">
        <f>'MONTHLY REVIEW'!D32</f>
        <v>Avg Online Review Rating</v>
      </c>
      <c r="D30" s="70">
        <f>'MONTHLY REVIEW'!E32</f>
        <v>4.4</v>
      </c>
      <c r="E30" s="75" t="str">
        <f>'MONTHLY REVIEW'!F32</f>
        <v>A</v>
      </c>
      <c r="F30" s="69">
        <f>'MONTHLY REVIEW'!G32</f>
        <v>4.3</v>
      </c>
      <c r="G30" s="76" t="str">
        <f t="shared" si="1"/>
        <v/>
      </c>
      <c r="H30" s="77"/>
      <c r="I30" s="78"/>
      <c r="J30" s="79"/>
      <c r="K30" s="80" t="s">
        <v>196</v>
      </c>
    </row>
    <row r="31" ht="21.75" customHeight="1">
      <c r="B31" s="31">
        <v>26.0</v>
      </c>
      <c r="C31" s="33" t="str">
        <f>'MONTHLY REVIEW'!D33</f>
        <v>Complaints/Incidents (count)</v>
      </c>
      <c r="D31" s="73">
        <f>'MONTHLY REVIEW'!E33</f>
        <v>4</v>
      </c>
      <c r="E31" s="75" t="str">
        <f>'MONTHLY REVIEW'!F33</f>
        <v>A</v>
      </c>
      <c r="F31" s="72">
        <f>'MONTHLY REVIEW'!G33</f>
        <v>5</v>
      </c>
      <c r="G31" s="76" t="str">
        <f t="shared" si="1"/>
        <v/>
      </c>
      <c r="H31" s="77"/>
      <c r="I31" s="78"/>
      <c r="J31" s="79"/>
      <c r="K31" s="80" t="s">
        <v>196</v>
      </c>
    </row>
    <row r="32" ht="21.75" customHeight="1">
      <c r="B32" s="31">
        <v>27.0</v>
      </c>
      <c r="C32" s="33" t="str">
        <f>'MONTHLY REVIEW'!D34</f>
        <v>Delivery Sales %</v>
      </c>
      <c r="D32" s="63">
        <f>'MONTHLY REVIEW'!E34</f>
        <v>0.18</v>
      </c>
      <c r="E32" s="75" t="str">
        <f>'MONTHLY REVIEW'!F34</f>
        <v>B</v>
      </c>
      <c r="F32" s="62">
        <f>'MONTHLY REVIEW'!G34</f>
        <v>0.2</v>
      </c>
      <c r="G32" s="76" t="str">
        <f t="shared" si="1"/>
        <v/>
      </c>
      <c r="H32" s="77"/>
      <c r="I32" s="78"/>
      <c r="J32" s="79"/>
      <c r="K32" s="80" t="s">
        <v>196</v>
      </c>
    </row>
    <row r="33" ht="21.75" customHeight="1">
      <c r="B33" s="31">
        <v>28.0</v>
      </c>
      <c r="C33" s="33" t="str">
        <f>'MONTHLY REVIEW'!D35</f>
        <v>3rd-Party Commission %</v>
      </c>
      <c r="D33" s="63">
        <f>'MONTHLY REVIEW'!E35</f>
        <v>0.2400173611</v>
      </c>
      <c r="E33" s="75" t="str">
        <f>'MONTHLY REVIEW'!F35</f>
        <v>A</v>
      </c>
      <c r="F33" s="62">
        <f>'MONTHLY REVIEW'!G35</f>
        <v>0.25</v>
      </c>
      <c r="G33" s="76" t="str">
        <f t="shared" si="1"/>
        <v/>
      </c>
      <c r="H33" s="77"/>
      <c r="I33" s="78"/>
      <c r="J33" s="79"/>
      <c r="K33" s="80" t="s">
        <v>196</v>
      </c>
    </row>
    <row r="34" ht="21.75" customHeight="1">
      <c r="B34" s="31">
        <v>29.0</v>
      </c>
      <c r="C34" s="33" t="str">
        <f>'MONTHLY REVIEW'!D36</f>
        <v>Avg Delivery Time (min)</v>
      </c>
      <c r="D34" s="70">
        <f>'MONTHLY REVIEW'!E36</f>
        <v>33</v>
      </c>
      <c r="E34" s="75" t="str">
        <f>'MONTHLY REVIEW'!F36</f>
        <v>A</v>
      </c>
      <c r="F34" s="69">
        <f>'MONTHLY REVIEW'!G36</f>
        <v>32</v>
      </c>
      <c r="G34" s="76" t="str">
        <f t="shared" si="1"/>
        <v/>
      </c>
      <c r="H34" s="77"/>
      <c r="I34" s="78"/>
      <c r="J34" s="79"/>
      <c r="K34" s="80" t="s">
        <v>196</v>
      </c>
    </row>
    <row r="35" ht="21.75" customHeight="1">
      <c r="B35" s="31">
        <v>30.0</v>
      </c>
      <c r="C35" s="33" t="str">
        <f>'MONTHLY REVIEW'!D37</f>
        <v>On-Time Delivery %</v>
      </c>
      <c r="D35" s="63">
        <f>'MONTHLY REVIEW'!E37</f>
        <v>0.829</v>
      </c>
      <c r="E35" s="75" t="str">
        <f>'MONTHLY REVIEW'!F37</f>
        <v>B</v>
      </c>
      <c r="F35" s="62">
        <f>'MONTHLY REVIEW'!G37</f>
        <v>0.9</v>
      </c>
      <c r="G35" s="76" t="str">
        <f t="shared" si="1"/>
        <v/>
      </c>
      <c r="H35" s="77"/>
      <c r="I35" s="78"/>
      <c r="J35" s="79"/>
      <c r="K35" s="80" t="s">
        <v>196</v>
      </c>
    </row>
    <row r="36" ht="21.75" customHeight="1">
      <c r="B36" s="31">
        <v>31.0</v>
      </c>
      <c r="C36" s="33" t="str">
        <f>'MONTHLY REVIEW'!D38</f>
        <v>Marketing Spend ROI %</v>
      </c>
      <c r="D36" s="63">
        <f>'MONTHLY REVIEW'!E38</f>
        <v>1.4</v>
      </c>
      <c r="E36" s="75" t="str">
        <f>'MONTHLY REVIEW'!F38</f>
        <v>B</v>
      </c>
      <c r="F36" s="62">
        <f>'MONTHLY REVIEW'!G38</f>
        <v>1.5</v>
      </c>
      <c r="G36" s="76" t="str">
        <f t="shared" si="1"/>
        <v/>
      </c>
      <c r="H36" s="77"/>
      <c r="I36" s="78"/>
      <c r="J36" s="79"/>
      <c r="K36" s="80" t="s">
        <v>196</v>
      </c>
    </row>
    <row r="37" ht="21.75" customHeight="1">
      <c r="B37" s="31">
        <v>32.0</v>
      </c>
      <c r="C37" s="33" t="str">
        <f>'MONTHLY REVIEW'!D39</f>
        <v>Email Open Rate %</v>
      </c>
      <c r="D37" s="63">
        <f>'MONTHLY REVIEW'!E39</f>
        <v>0.32</v>
      </c>
      <c r="E37" s="75" t="str">
        <f>'MONTHLY REVIEW'!F39</f>
        <v>A</v>
      </c>
      <c r="F37" s="62">
        <f>'MONTHLY REVIEW'!G39</f>
        <v>0.32</v>
      </c>
      <c r="G37" s="76" t="str">
        <f t="shared" si="1"/>
        <v/>
      </c>
      <c r="H37" s="77"/>
      <c r="I37" s="78"/>
      <c r="J37" s="79"/>
      <c r="K37" s="80" t="s">
        <v>196</v>
      </c>
    </row>
    <row r="38" ht="21.75" customHeight="1">
      <c r="B38" s="31">
        <v>33.0</v>
      </c>
      <c r="C38" s="33" t="str">
        <f>'MONTHLY REVIEW'!D40</f>
        <v>Email Click-Through Rate %</v>
      </c>
      <c r="D38" s="63">
        <f>'MONTHLY REVIEW'!E40</f>
        <v>0.015</v>
      </c>
      <c r="E38" s="75" t="str">
        <f>'MONTHLY REVIEW'!F40</f>
        <v>A</v>
      </c>
      <c r="F38" s="62">
        <f>'MONTHLY REVIEW'!G40</f>
        <v>0.015</v>
      </c>
      <c r="G38" s="76" t="str">
        <f t="shared" si="1"/>
        <v/>
      </c>
      <c r="H38" s="77"/>
      <c r="I38" s="78"/>
      <c r="J38" s="79"/>
      <c r="K38" s="80" t="s">
        <v>196</v>
      </c>
    </row>
    <row r="39" ht="21.75" customHeight="1">
      <c r="B39" s="31">
        <v>34.0</v>
      </c>
      <c r="C39" s="33" t="str">
        <f>'MONTHLY REVIEW'!D41</f>
        <v>Social Media Engagement Rate %</v>
      </c>
      <c r="D39" s="63">
        <f>'MONTHLY REVIEW'!E41</f>
        <v>0.028</v>
      </c>
      <c r="E39" s="75" t="str">
        <f>'MONTHLY REVIEW'!F41</f>
        <v>B</v>
      </c>
      <c r="F39" s="62">
        <f>'MONTHLY REVIEW'!G41</f>
        <v>0.03</v>
      </c>
      <c r="G39" s="76" t="str">
        <f t="shared" si="1"/>
        <v/>
      </c>
      <c r="H39" s="77"/>
      <c r="I39" s="78"/>
      <c r="J39" s="79"/>
      <c r="K39" s="80" t="s">
        <v>196</v>
      </c>
    </row>
    <row r="40" ht="21.75" customHeight="1">
      <c r="B40" s="31">
        <v>35.0</v>
      </c>
      <c r="C40" s="33" t="str">
        <f>'MONTHLY REVIEW'!D42</f>
        <v>Net Profit Margin %</v>
      </c>
      <c r="D40" s="63">
        <f>'MONTHLY REVIEW'!E42</f>
        <v>0.05</v>
      </c>
      <c r="E40" s="75" t="str">
        <f>'MONTHLY REVIEW'!F42</f>
        <v>C</v>
      </c>
      <c r="F40" s="62">
        <f>'MONTHLY REVIEW'!G42</f>
        <v>0.06</v>
      </c>
      <c r="G40" s="76" t="str">
        <f t="shared" si="1"/>
        <v/>
      </c>
      <c r="H40" s="77"/>
      <c r="I40" s="78"/>
      <c r="J40" s="79"/>
      <c r="K40" s="80" t="s">
        <v>196</v>
      </c>
    </row>
    <row r="41" ht="21.75" customHeight="1">
      <c r="B41" s="31">
        <v>36.0</v>
      </c>
      <c r="C41" s="33" t="str">
        <f>'MONTHLY REVIEW'!D43</f>
        <v>Sales per Square Foot</v>
      </c>
      <c r="D41" s="67">
        <f>'MONTHLY REVIEW'!E43</f>
        <v>349.0909091</v>
      </c>
      <c r="E41" s="75" t="str">
        <f>'MONTHLY REVIEW'!F43</f>
        <v>A</v>
      </c>
      <c r="F41" s="58">
        <f>'MONTHLY REVIEW'!G43</f>
        <v>200</v>
      </c>
      <c r="G41" s="76" t="str">
        <f t="shared" si="1"/>
        <v/>
      </c>
      <c r="H41" s="77"/>
      <c r="I41" s="78"/>
      <c r="J41" s="79"/>
      <c r="K41" s="80" t="s">
        <v>196</v>
      </c>
    </row>
    <row r="42" ht="21.75" customHeight="1">
      <c r="B42" s="31">
        <v>37.0</v>
      </c>
      <c r="C42" s="33" t="str">
        <f>'MONTHLY REVIEW'!D44</f>
        <v>Covers per Seat (Capacity Use)</v>
      </c>
      <c r="D42" s="70">
        <f>'MONTHLY REVIEW'!E44</f>
        <v>46.25</v>
      </c>
      <c r="E42" s="75" t="str">
        <f>'MONTHLY REVIEW'!F44</f>
        <v>A</v>
      </c>
      <c r="F42" s="69">
        <f>'MONTHLY REVIEW'!G44</f>
        <v>1.8</v>
      </c>
      <c r="G42" s="76" t="str">
        <f t="shared" si="1"/>
        <v/>
      </c>
      <c r="H42" s="77"/>
      <c r="I42" s="78"/>
      <c r="J42" s="79"/>
      <c r="K42" s="80" t="s">
        <v>196</v>
      </c>
    </row>
    <row r="43" ht="21.75" customHeight="1">
      <c r="B43" s="31">
        <v>38.0</v>
      </c>
      <c r="C43" s="33" t="str">
        <f>'MONTHLY REVIEW'!D45</f>
        <v>Break-Even Point ($)</v>
      </c>
      <c r="D43" s="67">
        <f>'MONTHLY REVIEW'!E45</f>
        <v>32914.28571</v>
      </c>
      <c r="E43" s="75" t="str">
        <f>'MONTHLY REVIEW'!F45</f>
        <v>A</v>
      </c>
      <c r="F43" s="58">
        <f>'MONTHLY REVIEW'!G45</f>
        <v>40000</v>
      </c>
      <c r="G43" s="76" t="str">
        <f t="shared" si="1"/>
        <v/>
      </c>
      <c r="H43" s="77"/>
      <c r="I43" s="78"/>
      <c r="J43" s="79"/>
      <c r="K43" s="80" t="s">
        <v>196</v>
      </c>
    </row>
    <row r="44" ht="15.75" customHeight="1"/>
    <row r="45" ht="21.75" customHeight="1">
      <c r="B45" s="81" t="s">
        <v>197</v>
      </c>
      <c r="C45" s="11"/>
      <c r="D45" s="10"/>
      <c r="E45" s="82">
        <f>COUNTIF(E6:E43,"D")+COUNTIF(E6:E43,"F")</f>
        <v>5</v>
      </c>
    </row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">
    <mergeCell ref="B1:K2"/>
    <mergeCell ref="B3:K3"/>
    <mergeCell ref="B45:D45"/>
  </mergeCells>
  <conditionalFormatting sqref="K6:K43">
    <cfRule type="cellIs" dxfId="3" priority="1" operator="equal">
      <formula>"Resolved"</formula>
    </cfRule>
  </conditionalFormatting>
  <conditionalFormatting sqref="B6:K43">
    <cfRule type="expression" dxfId="4" priority="2">
      <formula>$G6&lt;&gt;""</formula>
    </cfRule>
  </conditionalFormatting>
  <dataValidations>
    <dataValidation type="list" allowBlank="1" sqref="K6:K43">
      <formula1>"Not Started,In Progress,Resolved,Monitoring"</formula1>
    </dataValidation>
  </dataValidations>
  <printOptions/>
  <pageMargins bottom="1.0" footer="0.0" header="0.0" left="0.75" right="0.75" top="1.0"/>
  <pageSetup paperSize="9" orientation="portrait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 fitToPage="1"/>
  </sheetPr>
  <sheetViews>
    <sheetView workbookViewId="0"/>
  </sheetViews>
  <sheetFormatPr customHeight="1" defaultColWidth="14.43" defaultRowHeight="15.0"/>
  <cols>
    <col customWidth="1" min="1" max="1" width="2.0"/>
    <col customWidth="1" min="2" max="2" width="6.71"/>
    <col customWidth="1" min="3" max="3" width="7.57"/>
    <col customWidth="1" min="4" max="4" width="13.0"/>
    <col customWidth="1" min="5" max="5" width="8.29"/>
    <col customWidth="1" min="6" max="6" width="18.71"/>
    <col customWidth="1" min="7" max="7" width="6.14"/>
    <col customWidth="1" min="8" max="8" width="9.0"/>
    <col customWidth="1" min="9" max="26" width="8.71"/>
  </cols>
  <sheetData>
    <row r="1" ht="25.5" customHeight="1">
      <c r="B1" s="83" t="s">
        <v>198</v>
      </c>
      <c r="C1" s="11"/>
      <c r="D1" s="11"/>
      <c r="E1" s="11"/>
      <c r="F1" s="11"/>
      <c r="G1" s="11"/>
      <c r="H1" s="10"/>
      <c r="I1" s="84"/>
    </row>
    <row r="2" ht="18.0" customHeight="1">
      <c r="B2" s="85" t="s">
        <v>199</v>
      </c>
      <c r="C2" s="11"/>
      <c r="D2" s="11"/>
      <c r="E2" s="11"/>
      <c r="F2" s="11"/>
      <c r="G2" s="11"/>
      <c r="H2" s="10"/>
      <c r="I2" s="84"/>
    </row>
    <row r="3">
      <c r="B3" s="84"/>
      <c r="C3" s="84"/>
      <c r="D3" s="84"/>
      <c r="E3" s="84"/>
      <c r="F3" s="84"/>
      <c r="G3" s="84"/>
      <c r="H3" s="84"/>
      <c r="I3" s="84"/>
    </row>
    <row r="4" ht="15.75" customHeight="1">
      <c r="B4" s="86" t="s">
        <v>200</v>
      </c>
      <c r="C4" s="87" t="str">
        <f>'MONTHLY REVIEW'!D5</f>
        <v>2026-06</v>
      </c>
      <c r="D4" s="84"/>
      <c r="E4" s="86" t="s">
        <v>201</v>
      </c>
      <c r="F4" s="87" t="str">
        <f>'MONTHLY REVIEW'!H5</f>
        <v>Main Street (Flagship)</v>
      </c>
      <c r="G4" s="84"/>
      <c r="H4" s="84"/>
      <c r="I4" s="84"/>
    </row>
    <row r="5">
      <c r="B5" s="84"/>
      <c r="C5" s="84"/>
      <c r="D5" s="84"/>
      <c r="E5" s="84"/>
      <c r="F5" s="84"/>
      <c r="G5" s="84"/>
      <c r="H5" s="84"/>
      <c r="I5" s="84"/>
    </row>
    <row r="6" ht="18.0" customHeight="1">
      <c r="B6" s="88" t="s">
        <v>202</v>
      </c>
      <c r="C6" s="11"/>
      <c r="D6" s="11"/>
      <c r="E6" s="11"/>
      <c r="F6" s="11"/>
      <c r="G6" s="11"/>
      <c r="H6" s="10"/>
      <c r="I6" s="84"/>
    </row>
    <row r="7" ht="19.5" customHeight="1">
      <c r="B7" s="89">
        <f>'MONTHLY REVIEW'!E8</f>
        <v>64000</v>
      </c>
      <c r="C7" s="10"/>
      <c r="D7" s="90">
        <f>'MONTHLY REVIEW'!E9</f>
        <v>0.03225806452</v>
      </c>
      <c r="E7" s="10"/>
      <c r="F7" s="90">
        <f>'MONTHLY REVIEW'!E16</f>
        <v>0.4285714286</v>
      </c>
      <c r="G7" s="10"/>
      <c r="H7" s="90">
        <f>'MONTHLY REVIEW'!E21</f>
        <v>0.25</v>
      </c>
      <c r="I7" s="10"/>
    </row>
    <row r="8" ht="13.5" customHeight="1">
      <c r="B8" s="91" t="s">
        <v>5</v>
      </c>
      <c r="C8" s="10"/>
      <c r="D8" s="91" t="s">
        <v>6</v>
      </c>
      <c r="E8" s="10"/>
      <c r="F8" s="91" t="s">
        <v>7</v>
      </c>
      <c r="G8" s="10"/>
      <c r="H8" s="91" t="s">
        <v>64</v>
      </c>
      <c r="I8" s="10"/>
    </row>
    <row r="9">
      <c r="B9" s="90">
        <f>'MONTHLY REVIEW'!E18</f>
        <v>0.65</v>
      </c>
      <c r="C9" s="10"/>
      <c r="D9" s="90">
        <f>'MONTHLY REVIEW'!E42</f>
        <v>0.05</v>
      </c>
      <c r="E9" s="10"/>
      <c r="F9" s="90">
        <f>'MONTHLY REVIEW'!E29</f>
        <v>0.86</v>
      </c>
      <c r="G9" s="10"/>
      <c r="H9" s="90">
        <f>'MONTHLY REVIEW'!E31</f>
        <v>0.34</v>
      </c>
      <c r="I9" s="10"/>
    </row>
    <row r="10">
      <c r="B10" s="91" t="s">
        <v>9</v>
      </c>
      <c r="C10" s="10"/>
      <c r="D10" s="91" t="s">
        <v>10</v>
      </c>
      <c r="E10" s="10"/>
      <c r="F10" s="91" t="s">
        <v>11</v>
      </c>
      <c r="G10" s="10"/>
      <c r="H10" s="91" t="s">
        <v>12</v>
      </c>
      <c r="I10" s="10"/>
    </row>
    <row r="11">
      <c r="B11" s="84"/>
      <c r="C11" s="84"/>
      <c r="D11" s="84"/>
      <c r="E11" s="84"/>
      <c r="F11" s="84"/>
      <c r="G11" s="84"/>
      <c r="H11" s="84"/>
      <c r="I11" s="84"/>
    </row>
    <row r="12" ht="18.0" customHeight="1">
      <c r="B12" s="88" t="s">
        <v>203</v>
      </c>
      <c r="C12" s="11"/>
      <c r="D12" s="11"/>
      <c r="E12" s="11"/>
      <c r="F12" s="11"/>
      <c r="G12" s="11"/>
      <c r="H12" s="10"/>
      <c r="I12" s="84"/>
    </row>
    <row r="13" ht="15.75" customHeight="1">
      <c r="B13" s="92" t="s">
        <v>16</v>
      </c>
      <c r="C13" s="84"/>
      <c r="D13" s="84"/>
      <c r="E13" s="84"/>
      <c r="F13" s="92" t="s">
        <v>17</v>
      </c>
      <c r="G13" s="92" t="s">
        <v>18</v>
      </c>
      <c r="H13" s="84"/>
      <c r="I13" s="84"/>
    </row>
    <row r="14" ht="15.75" customHeight="1">
      <c r="B14" s="24" t="s">
        <v>7</v>
      </c>
      <c r="C14" s="11"/>
      <c r="D14" s="11"/>
      <c r="E14" s="10"/>
      <c r="F14" s="25">
        <f>'MONTHLY REVIEW'!E16</f>
        <v>0.4285714286</v>
      </c>
      <c r="G14" s="93" t="str">
        <f>'MONTHLY REVIEW'!F16</f>
        <v>C</v>
      </c>
      <c r="H14" s="84"/>
      <c r="I14" s="84"/>
    </row>
    <row r="15" ht="15.75" customHeight="1">
      <c r="B15" s="24" t="s">
        <v>23</v>
      </c>
      <c r="C15" s="11"/>
      <c r="D15" s="11"/>
      <c r="E15" s="10"/>
      <c r="F15" s="25">
        <f>'MONTHLY REVIEW'!E17</f>
        <v>0.3333333333</v>
      </c>
      <c r="G15" s="93" t="str">
        <f>'MONTHLY REVIEW'!F17</f>
        <v>C</v>
      </c>
      <c r="H15" s="84"/>
      <c r="I15" s="84"/>
    </row>
    <row r="16" ht="15.75" customHeight="1">
      <c r="B16" s="24" t="s">
        <v>9</v>
      </c>
      <c r="C16" s="11"/>
      <c r="D16" s="11"/>
      <c r="E16" s="10"/>
      <c r="F16" s="25">
        <f>'MONTHLY REVIEW'!E18</f>
        <v>0.65</v>
      </c>
      <c r="G16" s="93" t="str">
        <f>'MONTHLY REVIEW'!F18</f>
        <v>B</v>
      </c>
      <c r="H16" s="84"/>
      <c r="I16" s="84"/>
    </row>
    <row r="17" ht="15.75" customHeight="1">
      <c r="B17" s="24" t="s">
        <v>64</v>
      </c>
      <c r="C17" s="11"/>
      <c r="D17" s="11"/>
      <c r="E17" s="10"/>
      <c r="F17" s="25">
        <f>'MONTHLY REVIEW'!E21</f>
        <v>0.25</v>
      </c>
      <c r="G17" s="93" t="str">
        <f>'MONTHLY REVIEW'!F21</f>
        <v>A</v>
      </c>
      <c r="H17" s="84"/>
      <c r="I17" s="84"/>
    </row>
    <row r="18" ht="15.75" customHeight="1">
      <c r="B18" s="24" t="s">
        <v>10</v>
      </c>
      <c r="C18" s="11"/>
      <c r="D18" s="11"/>
      <c r="E18" s="10"/>
      <c r="F18" s="25">
        <f>'MONTHLY REVIEW'!E42</f>
        <v>0.05</v>
      </c>
      <c r="G18" s="93" t="str">
        <f>'MONTHLY REVIEW'!F42</f>
        <v>C</v>
      </c>
      <c r="H18" s="84"/>
      <c r="I18" s="84"/>
    </row>
    <row r="19" ht="15.75" customHeight="1">
      <c r="B19" s="24" t="s">
        <v>24</v>
      </c>
      <c r="C19" s="11"/>
      <c r="D19" s="11"/>
      <c r="E19" s="10"/>
      <c r="F19" s="29">
        <f>'MONTHLY REVIEW'!E25</f>
        <v>1.523809524</v>
      </c>
      <c r="G19" s="93" t="str">
        <f>'MONTHLY REVIEW'!F25</f>
        <v>F</v>
      </c>
      <c r="H19" s="84"/>
      <c r="I19" s="84"/>
    </row>
    <row r="20" ht="15.75" customHeight="1">
      <c r="B20" s="24" t="s">
        <v>11</v>
      </c>
      <c r="C20" s="11"/>
      <c r="D20" s="11"/>
      <c r="E20" s="10"/>
      <c r="F20" s="25">
        <f>'MONTHLY REVIEW'!E29</f>
        <v>0.86</v>
      </c>
      <c r="G20" s="93" t="str">
        <f>'MONTHLY REVIEW'!F29</f>
        <v>A</v>
      </c>
      <c r="H20" s="84"/>
      <c r="I20" s="84"/>
    </row>
    <row r="21" ht="15.75" customHeight="1">
      <c r="B21" s="24" t="s">
        <v>12</v>
      </c>
      <c r="C21" s="11"/>
      <c r="D21" s="11"/>
      <c r="E21" s="10"/>
      <c r="F21" s="25">
        <f>'MONTHLY REVIEW'!E31</f>
        <v>0.34</v>
      </c>
      <c r="G21" s="93" t="str">
        <f>'MONTHLY REVIEW'!F31</f>
        <v>A</v>
      </c>
      <c r="H21" s="84"/>
      <c r="I21" s="84"/>
    </row>
    <row r="22" ht="15.75" customHeight="1">
      <c r="B22" s="24" t="s">
        <v>28</v>
      </c>
      <c r="C22" s="11"/>
      <c r="D22" s="11"/>
      <c r="E22" s="10"/>
      <c r="F22" s="25">
        <f>'MONTHLY REVIEW'!E24</f>
        <v>2.608695652</v>
      </c>
      <c r="G22" s="93" t="str">
        <f>'MONTHLY REVIEW'!F24</f>
        <v>F</v>
      </c>
      <c r="H22" s="84"/>
      <c r="I22" s="84"/>
    </row>
    <row r="23" ht="15.75" customHeight="1">
      <c r="B23" s="24" t="s">
        <v>27</v>
      </c>
      <c r="C23" s="11"/>
      <c r="D23" s="11"/>
      <c r="E23" s="10"/>
      <c r="F23" s="25">
        <f>'MONTHLY REVIEW'!E38</f>
        <v>1.4</v>
      </c>
      <c r="G23" s="93" t="str">
        <f>'MONTHLY REVIEW'!F38</f>
        <v>B</v>
      </c>
      <c r="H23" s="84"/>
      <c r="I23" s="84"/>
    </row>
    <row r="24" ht="15.75" customHeight="1">
      <c r="B24" s="84"/>
      <c r="C24" s="84"/>
      <c r="D24" s="84"/>
      <c r="E24" s="84"/>
      <c r="F24" s="84"/>
      <c r="G24" s="84"/>
      <c r="H24" s="84"/>
      <c r="I24" s="84"/>
    </row>
    <row r="25" ht="13.5" customHeight="1">
      <c r="B25" s="94" t="s">
        <v>204</v>
      </c>
      <c r="I25" s="84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1">
    <mergeCell ref="B1:H1"/>
    <mergeCell ref="B2:H2"/>
    <mergeCell ref="B6:H6"/>
    <mergeCell ref="B7:C7"/>
    <mergeCell ref="D7:E7"/>
    <mergeCell ref="F7:G7"/>
    <mergeCell ref="H7:I7"/>
    <mergeCell ref="B8:C8"/>
    <mergeCell ref="D8:E8"/>
    <mergeCell ref="F8:G8"/>
    <mergeCell ref="H8:I8"/>
    <mergeCell ref="D9:E9"/>
    <mergeCell ref="F9:G9"/>
    <mergeCell ref="H9:I9"/>
    <mergeCell ref="B9:C9"/>
    <mergeCell ref="B10:C10"/>
    <mergeCell ref="D10:E10"/>
    <mergeCell ref="F10:G10"/>
    <mergeCell ref="H10:I10"/>
    <mergeCell ref="B12:H12"/>
    <mergeCell ref="B14:E14"/>
    <mergeCell ref="B22:E22"/>
    <mergeCell ref="B23:E23"/>
    <mergeCell ref="B25:H25"/>
    <mergeCell ref="B15:E15"/>
    <mergeCell ref="B16:E16"/>
    <mergeCell ref="B17:E17"/>
    <mergeCell ref="B18:E18"/>
    <mergeCell ref="B19:E19"/>
    <mergeCell ref="B20:E20"/>
    <mergeCell ref="B21:E21"/>
  </mergeCells>
  <conditionalFormatting sqref="G14:G23">
    <cfRule type="cellIs" dxfId="0" priority="1" operator="equal">
      <formula>"A"</formula>
    </cfRule>
  </conditionalFormatting>
  <conditionalFormatting sqref="G14:G23">
    <cfRule type="cellIs" dxfId="0" priority="2" operator="equal">
      <formula>"B"</formula>
    </cfRule>
  </conditionalFormatting>
  <conditionalFormatting sqref="G14:G23">
    <cfRule type="cellIs" dxfId="1" priority="3" operator="equal">
      <formula>"C"</formula>
    </cfRule>
  </conditionalFormatting>
  <conditionalFormatting sqref="G14:G23">
    <cfRule type="cellIs" dxfId="1" priority="4" operator="equal">
      <formula>"D"</formula>
    </cfRule>
  </conditionalFormatting>
  <conditionalFormatting sqref="G14:G23">
    <cfRule type="cellIs" dxfId="2" priority="5" operator="equal">
      <formula>"F"</formula>
    </cfRule>
  </conditionalFormatting>
  <printOptions/>
  <pageMargins bottom="1.0" footer="0.0" header="0.0" left="0.75" right="0.75" top="1.0"/>
  <pageSetup paperSize="9" orientation="portrait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3.0"/>
    <col customWidth="1" min="2" max="2" width="16.0"/>
    <col customWidth="1" min="3" max="10" width="12.0"/>
    <col customWidth="1" min="11" max="26" width="8.71"/>
  </cols>
  <sheetData>
    <row r="1" ht="24.0" customHeight="1">
      <c r="B1" s="4" t="s">
        <v>205</v>
      </c>
      <c r="C1" s="2"/>
      <c r="D1" s="2"/>
      <c r="E1" s="2"/>
      <c r="F1" s="2"/>
      <c r="G1" s="2"/>
      <c r="H1" s="2"/>
      <c r="I1" s="2"/>
      <c r="J1" s="2"/>
      <c r="K1" s="3"/>
    </row>
    <row r="2" ht="19.5" customHeight="1">
      <c r="B2" s="5"/>
      <c r="C2" s="6"/>
      <c r="D2" s="6"/>
      <c r="E2" s="6"/>
      <c r="F2" s="6"/>
      <c r="G2" s="6"/>
      <c r="H2" s="6"/>
      <c r="I2" s="6"/>
      <c r="J2" s="6"/>
      <c r="K2" s="7"/>
    </row>
    <row r="5" ht="21.75" customHeight="1">
      <c r="B5" s="95" t="s">
        <v>206</v>
      </c>
      <c r="C5" s="11"/>
      <c r="D5" s="11"/>
      <c r="E5" s="11"/>
      <c r="F5" s="11"/>
      <c r="G5" s="11"/>
      <c r="H5" s="11"/>
      <c r="I5" s="11"/>
      <c r="J5" s="11"/>
      <c r="K5" s="10"/>
    </row>
    <row r="6" ht="27.75" customHeight="1">
      <c r="B6" s="24" t="s">
        <v>207</v>
      </c>
      <c r="C6" s="11"/>
      <c r="D6" s="11"/>
      <c r="E6" s="11"/>
      <c r="F6" s="11"/>
      <c r="G6" s="11"/>
      <c r="H6" s="11"/>
      <c r="I6" s="11"/>
      <c r="J6" s="11"/>
      <c r="K6" s="10"/>
    </row>
    <row r="7" ht="27.75" customHeight="1">
      <c r="B7" s="24" t="s">
        <v>208</v>
      </c>
      <c r="C7" s="11"/>
      <c r="D7" s="11"/>
      <c r="E7" s="11"/>
      <c r="F7" s="11"/>
      <c r="G7" s="11"/>
      <c r="H7" s="11"/>
      <c r="I7" s="11"/>
      <c r="J7" s="11"/>
      <c r="K7" s="10"/>
    </row>
    <row r="8" ht="27.75" customHeight="1">
      <c r="B8" s="24" t="s">
        <v>209</v>
      </c>
      <c r="C8" s="11"/>
      <c r="D8" s="11"/>
      <c r="E8" s="11"/>
      <c r="F8" s="11"/>
      <c r="G8" s="11"/>
      <c r="H8" s="11"/>
      <c r="I8" s="11"/>
      <c r="J8" s="11"/>
      <c r="K8" s="10"/>
    </row>
    <row r="9" ht="27.75" customHeight="1">
      <c r="B9" s="24" t="s">
        <v>210</v>
      </c>
      <c r="C9" s="11"/>
      <c r="D9" s="11"/>
      <c r="E9" s="11"/>
      <c r="F9" s="11"/>
      <c r="G9" s="11"/>
      <c r="H9" s="11"/>
      <c r="I9" s="11"/>
      <c r="J9" s="11"/>
      <c r="K9" s="10"/>
    </row>
    <row r="10" ht="27.75" customHeight="1">
      <c r="B10" s="24" t="s">
        <v>211</v>
      </c>
      <c r="C10" s="11"/>
      <c r="D10" s="11"/>
      <c r="E10" s="11"/>
      <c r="F10" s="11"/>
      <c r="G10" s="11"/>
      <c r="H10" s="11"/>
      <c r="I10" s="11"/>
      <c r="J10" s="11"/>
      <c r="K10" s="10"/>
    </row>
    <row r="11" ht="27.75" customHeight="1">
      <c r="B11" s="24" t="s">
        <v>212</v>
      </c>
      <c r="C11" s="11"/>
      <c r="D11" s="11"/>
      <c r="E11" s="11"/>
      <c r="F11" s="11"/>
      <c r="G11" s="11"/>
      <c r="H11" s="11"/>
      <c r="I11" s="11"/>
      <c r="J11" s="11"/>
      <c r="K11" s="10"/>
    </row>
    <row r="12" ht="27.75" customHeight="1">
      <c r="B12" s="24" t="s">
        <v>213</v>
      </c>
      <c r="C12" s="11"/>
      <c r="D12" s="11"/>
      <c r="E12" s="11"/>
      <c r="F12" s="11"/>
      <c r="G12" s="11"/>
      <c r="H12" s="11"/>
      <c r="I12" s="11"/>
      <c r="J12" s="11"/>
      <c r="K12" s="10"/>
    </row>
    <row r="13" ht="27.75" customHeight="1">
      <c r="B13" s="24" t="s">
        <v>214</v>
      </c>
      <c r="C13" s="11"/>
      <c r="D13" s="11"/>
      <c r="E13" s="11"/>
      <c r="F13" s="11"/>
      <c r="G13" s="11"/>
      <c r="H13" s="11"/>
      <c r="I13" s="11"/>
      <c r="J13" s="11"/>
      <c r="K13" s="10"/>
    </row>
    <row r="15" ht="21.75" customHeight="1">
      <c r="B15" s="95" t="s">
        <v>215</v>
      </c>
      <c r="C15" s="11"/>
      <c r="D15" s="11"/>
      <c r="E15" s="11"/>
      <c r="F15" s="11"/>
      <c r="G15" s="11"/>
      <c r="H15" s="11"/>
      <c r="I15" s="11"/>
      <c r="J15" s="11"/>
      <c r="K15" s="10"/>
    </row>
    <row r="16" ht="27.75" customHeight="1">
      <c r="B16" s="24" t="s">
        <v>216</v>
      </c>
      <c r="C16" s="11"/>
      <c r="D16" s="11"/>
      <c r="E16" s="11"/>
      <c r="F16" s="11"/>
      <c r="G16" s="11"/>
      <c r="H16" s="11"/>
      <c r="I16" s="11"/>
      <c r="J16" s="11"/>
      <c r="K16" s="10"/>
    </row>
    <row r="17" ht="27.75" customHeight="1">
      <c r="B17" s="24" t="s">
        <v>217</v>
      </c>
      <c r="C17" s="11"/>
      <c r="D17" s="11"/>
      <c r="E17" s="11"/>
      <c r="F17" s="11"/>
      <c r="G17" s="11"/>
      <c r="H17" s="11"/>
      <c r="I17" s="11"/>
      <c r="J17" s="11"/>
      <c r="K17" s="10"/>
    </row>
    <row r="18" ht="27.75" customHeight="1">
      <c r="B18" s="24" t="s">
        <v>218</v>
      </c>
      <c r="C18" s="11"/>
      <c r="D18" s="11"/>
      <c r="E18" s="11"/>
      <c r="F18" s="11"/>
      <c r="G18" s="11"/>
      <c r="H18" s="11"/>
      <c r="I18" s="11"/>
      <c r="J18" s="11"/>
      <c r="K18" s="10"/>
    </row>
    <row r="19" ht="27.75" customHeight="1">
      <c r="B19" s="24" t="s">
        <v>219</v>
      </c>
      <c r="C19" s="11"/>
      <c r="D19" s="11"/>
      <c r="E19" s="11"/>
      <c r="F19" s="11"/>
      <c r="G19" s="11"/>
      <c r="H19" s="11"/>
      <c r="I19" s="11"/>
      <c r="J19" s="11"/>
      <c r="K19" s="10"/>
    </row>
    <row r="20" ht="27.75" customHeight="1">
      <c r="B20" s="24" t="s">
        <v>220</v>
      </c>
      <c r="C20" s="11"/>
      <c r="D20" s="11"/>
      <c r="E20" s="11"/>
      <c r="F20" s="11"/>
      <c r="G20" s="11"/>
      <c r="H20" s="11"/>
      <c r="I20" s="11"/>
      <c r="J20" s="11"/>
      <c r="K20" s="10"/>
    </row>
    <row r="21" ht="27.75" customHeight="1">
      <c r="B21" s="24" t="s">
        <v>221</v>
      </c>
      <c r="C21" s="11"/>
      <c r="D21" s="11"/>
      <c r="E21" s="11"/>
      <c r="F21" s="11"/>
      <c r="G21" s="11"/>
      <c r="H21" s="11"/>
      <c r="I21" s="11"/>
      <c r="J21" s="11"/>
      <c r="K21" s="10"/>
    </row>
    <row r="22" ht="15.75" customHeight="1"/>
    <row r="23" ht="21.75" customHeight="1">
      <c r="B23" s="95" t="s">
        <v>222</v>
      </c>
      <c r="C23" s="11"/>
      <c r="D23" s="11"/>
      <c r="E23" s="11"/>
      <c r="F23" s="11"/>
      <c r="G23" s="11"/>
      <c r="H23" s="11"/>
      <c r="I23" s="11"/>
      <c r="J23" s="11"/>
      <c r="K23" s="10"/>
    </row>
    <row r="24" ht="27.75" customHeight="1">
      <c r="B24" s="24" t="s">
        <v>223</v>
      </c>
      <c r="C24" s="11"/>
      <c r="D24" s="11"/>
      <c r="E24" s="11"/>
      <c r="F24" s="11"/>
      <c r="G24" s="11"/>
      <c r="H24" s="11"/>
      <c r="I24" s="11"/>
      <c r="J24" s="11"/>
      <c r="K24" s="10"/>
    </row>
    <row r="25" ht="27.75" customHeight="1">
      <c r="B25" s="24" t="s">
        <v>224</v>
      </c>
      <c r="C25" s="11"/>
      <c r="D25" s="11"/>
      <c r="E25" s="11"/>
      <c r="F25" s="11"/>
      <c r="G25" s="11"/>
      <c r="H25" s="11"/>
      <c r="I25" s="11"/>
      <c r="J25" s="11"/>
      <c r="K25" s="10"/>
    </row>
    <row r="26" ht="27.75" customHeight="1">
      <c r="B26" s="24" t="s">
        <v>225</v>
      </c>
      <c r="C26" s="11"/>
      <c r="D26" s="11"/>
      <c r="E26" s="11"/>
      <c r="F26" s="11"/>
      <c r="G26" s="11"/>
      <c r="H26" s="11"/>
      <c r="I26" s="11"/>
      <c r="J26" s="11"/>
      <c r="K26" s="10"/>
    </row>
    <row r="27" ht="15.75" customHeight="1"/>
    <row r="28" ht="21.75" customHeight="1">
      <c r="B28" s="95" t="s">
        <v>226</v>
      </c>
      <c r="C28" s="11"/>
      <c r="D28" s="11"/>
      <c r="E28" s="11"/>
      <c r="F28" s="11"/>
      <c r="G28" s="11"/>
      <c r="H28" s="11"/>
      <c r="I28" s="11"/>
      <c r="J28" s="11"/>
      <c r="K28" s="10"/>
    </row>
    <row r="29" ht="27.75" customHeight="1">
      <c r="B29" s="24" t="s">
        <v>227</v>
      </c>
      <c r="C29" s="11"/>
      <c r="D29" s="11"/>
      <c r="E29" s="11"/>
      <c r="F29" s="11"/>
      <c r="G29" s="11"/>
      <c r="H29" s="11"/>
      <c r="I29" s="11"/>
      <c r="J29" s="11"/>
      <c r="K29" s="10"/>
    </row>
    <row r="30" ht="27.75" customHeight="1">
      <c r="B30" s="24" t="s">
        <v>228</v>
      </c>
      <c r="C30" s="11"/>
      <c r="D30" s="11"/>
      <c r="E30" s="11"/>
      <c r="F30" s="11"/>
      <c r="G30" s="11"/>
      <c r="H30" s="11"/>
      <c r="I30" s="11"/>
      <c r="J30" s="11"/>
      <c r="K30" s="10"/>
    </row>
    <row r="31" ht="27.75" customHeight="1">
      <c r="B31" s="24" t="s">
        <v>229</v>
      </c>
      <c r="C31" s="11"/>
      <c r="D31" s="11"/>
      <c r="E31" s="11"/>
      <c r="F31" s="11"/>
      <c r="G31" s="11"/>
      <c r="H31" s="11"/>
      <c r="I31" s="11"/>
      <c r="J31" s="11"/>
      <c r="K31" s="10"/>
    </row>
    <row r="32" ht="15.75" customHeight="1"/>
    <row r="33" ht="21.75" customHeight="1">
      <c r="B33" s="95" t="s">
        <v>230</v>
      </c>
      <c r="C33" s="11"/>
      <c r="D33" s="11"/>
      <c r="E33" s="11"/>
      <c r="F33" s="11"/>
      <c r="G33" s="11"/>
      <c r="H33" s="11"/>
      <c r="I33" s="11"/>
      <c r="J33" s="11"/>
      <c r="K33" s="10"/>
    </row>
    <row r="34" ht="27.75" customHeight="1">
      <c r="B34" s="24" t="s">
        <v>231</v>
      </c>
      <c r="C34" s="11"/>
      <c r="D34" s="11"/>
      <c r="E34" s="11"/>
      <c r="F34" s="11"/>
      <c r="G34" s="11"/>
      <c r="H34" s="11"/>
      <c r="I34" s="11"/>
      <c r="J34" s="11"/>
      <c r="K34" s="10"/>
    </row>
    <row r="35" ht="27.75" customHeight="1">
      <c r="B35" s="24" t="s">
        <v>232</v>
      </c>
      <c r="C35" s="11"/>
      <c r="D35" s="11"/>
      <c r="E35" s="11"/>
      <c r="F35" s="11"/>
      <c r="G35" s="11"/>
      <c r="H35" s="11"/>
      <c r="I35" s="11"/>
      <c r="J35" s="11"/>
      <c r="K35" s="10"/>
    </row>
    <row r="36" ht="15.75" customHeight="1"/>
    <row r="37" ht="21.75" customHeight="1">
      <c r="B37" s="95" t="s">
        <v>233</v>
      </c>
      <c r="C37" s="11"/>
      <c r="D37" s="11"/>
      <c r="E37" s="11"/>
      <c r="F37" s="11"/>
      <c r="G37" s="11"/>
      <c r="H37" s="11"/>
      <c r="I37" s="11"/>
      <c r="J37" s="11"/>
      <c r="K37" s="10"/>
    </row>
    <row r="38" ht="27.75" customHeight="1">
      <c r="B38" s="24" t="s">
        <v>234</v>
      </c>
      <c r="C38" s="11"/>
      <c r="D38" s="11"/>
      <c r="E38" s="11"/>
      <c r="F38" s="11"/>
      <c r="G38" s="11"/>
      <c r="H38" s="11"/>
      <c r="I38" s="11"/>
      <c r="J38" s="11"/>
      <c r="K38" s="10"/>
    </row>
    <row r="39" ht="27.75" customHeight="1">
      <c r="B39" s="24" t="s">
        <v>235</v>
      </c>
      <c r="C39" s="11"/>
      <c r="D39" s="11"/>
      <c r="E39" s="11"/>
      <c r="F39" s="11"/>
      <c r="G39" s="11"/>
      <c r="H39" s="11"/>
      <c r="I39" s="11"/>
      <c r="J39" s="11"/>
      <c r="K39" s="10"/>
    </row>
    <row r="40" ht="27.75" customHeight="1">
      <c r="B40" s="24" t="s">
        <v>236</v>
      </c>
      <c r="C40" s="11"/>
      <c r="D40" s="11"/>
      <c r="E40" s="11"/>
      <c r="F40" s="11"/>
      <c r="G40" s="11"/>
      <c r="H40" s="11"/>
      <c r="I40" s="11"/>
      <c r="J40" s="11"/>
      <c r="K40" s="10"/>
    </row>
    <row r="41" ht="15.75" customHeight="1"/>
    <row r="42" ht="21.75" customHeight="1">
      <c r="B42" s="95" t="s">
        <v>237</v>
      </c>
      <c r="C42" s="11"/>
      <c r="D42" s="11"/>
      <c r="E42" s="11"/>
      <c r="F42" s="11"/>
      <c r="G42" s="11"/>
      <c r="H42" s="11"/>
      <c r="I42" s="11"/>
      <c r="J42" s="11"/>
      <c r="K42" s="10"/>
    </row>
    <row r="43" ht="27.75" customHeight="1">
      <c r="B43" s="24" t="s">
        <v>238</v>
      </c>
      <c r="C43" s="11"/>
      <c r="D43" s="11"/>
      <c r="E43" s="11"/>
      <c r="F43" s="11"/>
      <c r="G43" s="11"/>
      <c r="H43" s="11"/>
      <c r="I43" s="11"/>
      <c r="J43" s="11"/>
      <c r="K43" s="10"/>
    </row>
    <row r="44" ht="27.75" customHeight="1">
      <c r="B44" s="24" t="s">
        <v>239</v>
      </c>
      <c r="C44" s="11"/>
      <c r="D44" s="11"/>
      <c r="E44" s="11"/>
      <c r="F44" s="11"/>
      <c r="G44" s="11"/>
      <c r="H44" s="11"/>
      <c r="I44" s="11"/>
      <c r="J44" s="11"/>
      <c r="K44" s="10"/>
    </row>
    <row r="45" ht="15.75" customHeight="1"/>
    <row r="46" ht="21.75" customHeight="1">
      <c r="B46" s="95" t="s">
        <v>240</v>
      </c>
      <c r="C46" s="11"/>
      <c r="D46" s="11"/>
      <c r="E46" s="11"/>
      <c r="F46" s="11"/>
      <c r="G46" s="11"/>
      <c r="H46" s="11"/>
      <c r="I46" s="11"/>
      <c r="J46" s="11"/>
      <c r="K46" s="10"/>
    </row>
    <row r="47" ht="27.75" customHeight="1">
      <c r="B47" s="24" t="s">
        <v>241</v>
      </c>
      <c r="C47" s="11"/>
      <c r="D47" s="11"/>
      <c r="E47" s="11"/>
      <c r="F47" s="11"/>
      <c r="G47" s="11"/>
      <c r="H47" s="11"/>
      <c r="I47" s="11"/>
      <c r="J47" s="11"/>
      <c r="K47" s="10"/>
    </row>
    <row r="48" ht="27.75" customHeight="1">
      <c r="B48" s="24" t="s">
        <v>242</v>
      </c>
      <c r="C48" s="11"/>
      <c r="D48" s="11"/>
      <c r="E48" s="11"/>
      <c r="F48" s="11"/>
      <c r="G48" s="11"/>
      <c r="H48" s="11"/>
      <c r="I48" s="11"/>
      <c r="J48" s="11"/>
      <c r="K48" s="10"/>
    </row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38">
    <mergeCell ref="B1:K2"/>
    <mergeCell ref="B5:K5"/>
    <mergeCell ref="B6:K6"/>
    <mergeCell ref="B7:K7"/>
    <mergeCell ref="B8:K8"/>
    <mergeCell ref="B9:K9"/>
    <mergeCell ref="B10:K10"/>
    <mergeCell ref="B11:K11"/>
    <mergeCell ref="B12:K12"/>
    <mergeCell ref="B13:K13"/>
    <mergeCell ref="B15:K15"/>
    <mergeCell ref="B16:K16"/>
    <mergeCell ref="B17:K17"/>
    <mergeCell ref="B18:K18"/>
    <mergeCell ref="B19:K19"/>
    <mergeCell ref="B20:K20"/>
    <mergeCell ref="B21:K21"/>
    <mergeCell ref="B23:K23"/>
    <mergeCell ref="B24:K24"/>
    <mergeCell ref="B25:K25"/>
    <mergeCell ref="B26:K26"/>
    <mergeCell ref="B28:K28"/>
    <mergeCell ref="B29:K29"/>
    <mergeCell ref="B30:K30"/>
    <mergeCell ref="B31:K31"/>
    <mergeCell ref="B33:K33"/>
    <mergeCell ref="B34:K34"/>
    <mergeCell ref="B35:K35"/>
    <mergeCell ref="B46:K46"/>
    <mergeCell ref="B47:K47"/>
    <mergeCell ref="B48:K48"/>
    <mergeCell ref="B37:K37"/>
    <mergeCell ref="B38:K38"/>
    <mergeCell ref="B39:K39"/>
    <mergeCell ref="B40:K40"/>
    <mergeCell ref="B42:K42"/>
    <mergeCell ref="B43:K43"/>
    <mergeCell ref="B44:K44"/>
  </mergeCells>
  <printOptions/>
  <pageMargins bottom="1.0" footer="0.0" header="0.0" left="0.75" right="0.75" top="1.0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2026-06-30T18:24:00Z</dcterms:created>
  <dc:creator>openpyxl</dc:creator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C460161E3F6243C7ACCFD30C3AD5C71D_12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